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7"/>
  <fileSharing readOnlyRecommended="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allascountytx.sharepoint.com/sites/DC-Elections/Shared Documents/Executive/Election Analytics/Election Planning/Allocations/"/>
    </mc:Choice>
  </mc:AlternateContent>
  <xr:revisionPtr revIDLastSave="0" documentId="8_{B33FD63A-AEF5-4729-BC62-0BF9A4677A27}" xr6:coauthVersionLast="47" xr6:coauthVersionMax="47" xr10:uidLastSave="{00000000-0000-0000-0000-000000000000}"/>
  <bookViews>
    <workbookView xWindow="-108" yWindow="-108" windowWidth="23256" windowHeight="12720" firstSheet="2" activeTab="2" xr2:uid="{2C12479E-06DA-4FE1-B0F0-4A4E8B30F642}"/>
  </bookViews>
  <sheets>
    <sheet name="Updates Sheet" sheetId="3" r:id="rId1"/>
    <sheet name="EV Allocations" sheetId="4" r:id="rId2"/>
    <sheet name="ED Allocations" sheetId="2" r:id="rId3"/>
    <sheet name="New ED Clerk Allocations" sheetId="5" r:id="rId4"/>
    <sheet name="New ED EPB Allocations" sheetId="6" r:id="rId5"/>
  </sheets>
  <definedNames>
    <definedName name="_xlnm.Print_Area" localSheetId="2">'ED Allocations'!$B$2:$H$457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" i="2" l="1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R173" i="2"/>
  <c r="R174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7" i="2"/>
  <c r="R188" i="2"/>
  <c r="R189" i="2"/>
  <c r="R190" i="2"/>
  <c r="R191" i="2"/>
  <c r="R192" i="2"/>
  <c r="R193" i="2"/>
  <c r="R194" i="2"/>
  <c r="R195" i="2"/>
  <c r="R196" i="2"/>
  <c r="R197" i="2"/>
  <c r="R198" i="2"/>
  <c r="R199" i="2"/>
  <c r="R200" i="2"/>
  <c r="R201" i="2"/>
  <c r="R202" i="2"/>
  <c r="R203" i="2"/>
  <c r="R204" i="2"/>
  <c r="R205" i="2"/>
  <c r="R206" i="2"/>
  <c r="R207" i="2"/>
  <c r="R208" i="2"/>
  <c r="R209" i="2"/>
  <c r="R210" i="2"/>
  <c r="R211" i="2"/>
  <c r="R212" i="2"/>
  <c r="R213" i="2"/>
  <c r="R214" i="2"/>
  <c r="R215" i="2"/>
  <c r="R216" i="2"/>
  <c r="R217" i="2"/>
  <c r="R218" i="2"/>
  <c r="R219" i="2"/>
  <c r="R220" i="2"/>
  <c r="R221" i="2"/>
  <c r="R222" i="2"/>
  <c r="R223" i="2"/>
  <c r="R224" i="2"/>
  <c r="R225" i="2"/>
  <c r="R226" i="2"/>
  <c r="R227" i="2"/>
  <c r="R228" i="2"/>
  <c r="R229" i="2"/>
  <c r="R230" i="2"/>
  <c r="R231" i="2"/>
  <c r="R232" i="2"/>
  <c r="R233" i="2"/>
  <c r="R234" i="2"/>
  <c r="R235" i="2"/>
  <c r="R236" i="2"/>
  <c r="R237" i="2"/>
  <c r="R238" i="2"/>
  <c r="R239" i="2"/>
  <c r="R240" i="2"/>
  <c r="R241" i="2"/>
  <c r="R242" i="2"/>
  <c r="R243" i="2"/>
  <c r="R244" i="2"/>
  <c r="R245" i="2"/>
  <c r="R246" i="2"/>
  <c r="R247" i="2"/>
  <c r="R248" i="2"/>
  <c r="R249" i="2"/>
  <c r="R250" i="2"/>
  <c r="R251" i="2"/>
  <c r="R252" i="2"/>
  <c r="R253" i="2"/>
  <c r="R254" i="2"/>
  <c r="R255" i="2"/>
  <c r="R256" i="2"/>
  <c r="R257" i="2"/>
  <c r="R258" i="2"/>
  <c r="R259" i="2"/>
  <c r="R260" i="2"/>
  <c r="R261" i="2"/>
  <c r="R262" i="2"/>
  <c r="R263" i="2"/>
  <c r="R264" i="2"/>
  <c r="R265" i="2"/>
  <c r="R266" i="2"/>
  <c r="R267" i="2"/>
  <c r="R268" i="2"/>
  <c r="R269" i="2"/>
  <c r="R270" i="2"/>
  <c r="R271" i="2"/>
  <c r="R272" i="2"/>
  <c r="R273" i="2"/>
  <c r="R274" i="2"/>
  <c r="R275" i="2"/>
  <c r="R276" i="2"/>
  <c r="R277" i="2"/>
  <c r="R278" i="2"/>
  <c r="R279" i="2"/>
  <c r="R280" i="2"/>
  <c r="R281" i="2"/>
  <c r="R282" i="2"/>
  <c r="R283" i="2"/>
  <c r="R284" i="2"/>
  <c r="R285" i="2"/>
  <c r="R286" i="2"/>
  <c r="R287" i="2"/>
  <c r="R288" i="2"/>
  <c r="R289" i="2"/>
  <c r="R290" i="2"/>
  <c r="R291" i="2"/>
  <c r="R292" i="2"/>
  <c r="R293" i="2"/>
  <c r="R294" i="2"/>
  <c r="R295" i="2"/>
  <c r="R296" i="2"/>
  <c r="R297" i="2"/>
  <c r="R298" i="2"/>
  <c r="R299" i="2"/>
  <c r="R300" i="2"/>
  <c r="R301" i="2"/>
  <c r="R302" i="2"/>
  <c r="R303" i="2"/>
  <c r="R304" i="2"/>
  <c r="R305" i="2"/>
  <c r="R306" i="2"/>
  <c r="R307" i="2"/>
  <c r="R308" i="2"/>
  <c r="R309" i="2"/>
  <c r="R310" i="2"/>
  <c r="R311" i="2"/>
  <c r="R312" i="2"/>
  <c r="R313" i="2"/>
  <c r="R314" i="2"/>
  <c r="R315" i="2"/>
  <c r="R316" i="2"/>
  <c r="R317" i="2"/>
  <c r="R318" i="2"/>
  <c r="R319" i="2"/>
  <c r="R320" i="2"/>
  <c r="R321" i="2"/>
  <c r="R322" i="2"/>
  <c r="R323" i="2"/>
  <c r="R324" i="2"/>
  <c r="R325" i="2"/>
  <c r="R326" i="2"/>
  <c r="R327" i="2"/>
  <c r="R328" i="2"/>
  <c r="R329" i="2"/>
  <c r="R330" i="2"/>
  <c r="R331" i="2"/>
  <c r="R332" i="2"/>
  <c r="R333" i="2"/>
  <c r="R334" i="2"/>
  <c r="R335" i="2"/>
  <c r="R336" i="2"/>
  <c r="R337" i="2"/>
  <c r="R338" i="2"/>
  <c r="R339" i="2"/>
  <c r="R340" i="2"/>
  <c r="R341" i="2"/>
  <c r="R342" i="2"/>
  <c r="R343" i="2"/>
  <c r="R344" i="2"/>
  <c r="R345" i="2"/>
  <c r="R346" i="2"/>
  <c r="R347" i="2"/>
  <c r="R348" i="2"/>
  <c r="R349" i="2"/>
  <c r="R350" i="2"/>
  <c r="R351" i="2"/>
  <c r="R352" i="2"/>
  <c r="R353" i="2"/>
  <c r="R354" i="2"/>
  <c r="R355" i="2"/>
  <c r="R356" i="2"/>
  <c r="R357" i="2"/>
  <c r="R358" i="2"/>
  <c r="R359" i="2"/>
  <c r="R360" i="2"/>
  <c r="R361" i="2"/>
  <c r="R362" i="2"/>
  <c r="R363" i="2"/>
  <c r="R364" i="2"/>
  <c r="R365" i="2"/>
  <c r="R366" i="2"/>
  <c r="R367" i="2"/>
  <c r="R368" i="2"/>
  <c r="R369" i="2"/>
  <c r="R370" i="2"/>
  <c r="R371" i="2"/>
  <c r="R372" i="2"/>
  <c r="R373" i="2"/>
  <c r="R374" i="2"/>
  <c r="R375" i="2"/>
  <c r="R376" i="2"/>
  <c r="R377" i="2"/>
  <c r="R378" i="2"/>
  <c r="R379" i="2"/>
  <c r="R380" i="2"/>
  <c r="R381" i="2"/>
  <c r="R382" i="2"/>
  <c r="R383" i="2"/>
  <c r="R384" i="2"/>
  <c r="R385" i="2"/>
  <c r="R386" i="2"/>
  <c r="R387" i="2"/>
  <c r="R388" i="2"/>
  <c r="R389" i="2"/>
  <c r="R390" i="2"/>
  <c r="R391" i="2"/>
  <c r="R392" i="2"/>
  <c r="R393" i="2"/>
  <c r="R394" i="2"/>
  <c r="R395" i="2"/>
  <c r="R396" i="2"/>
  <c r="R397" i="2"/>
  <c r="R398" i="2"/>
  <c r="R399" i="2"/>
  <c r="R400" i="2"/>
  <c r="R401" i="2"/>
  <c r="R402" i="2"/>
  <c r="R403" i="2"/>
  <c r="R404" i="2"/>
  <c r="R405" i="2"/>
  <c r="R406" i="2"/>
  <c r="R407" i="2"/>
  <c r="R408" i="2"/>
  <c r="R409" i="2"/>
  <c r="R410" i="2"/>
  <c r="R411" i="2"/>
  <c r="R412" i="2"/>
  <c r="R413" i="2"/>
  <c r="R414" i="2"/>
  <c r="R415" i="2"/>
  <c r="R416" i="2"/>
  <c r="R417" i="2"/>
  <c r="R418" i="2"/>
  <c r="R419" i="2"/>
  <c r="R420" i="2"/>
  <c r="R421" i="2"/>
  <c r="R422" i="2"/>
  <c r="R423" i="2"/>
  <c r="R424" i="2"/>
  <c r="R425" i="2"/>
  <c r="R426" i="2"/>
  <c r="R427" i="2"/>
  <c r="R428" i="2"/>
  <c r="R429" i="2"/>
  <c r="R430" i="2"/>
  <c r="R431" i="2"/>
  <c r="R432" i="2"/>
  <c r="R433" i="2"/>
  <c r="R434" i="2"/>
  <c r="R435" i="2"/>
  <c r="R436" i="2"/>
  <c r="R437" i="2"/>
  <c r="R438" i="2"/>
  <c r="R439" i="2"/>
  <c r="R440" i="2"/>
  <c r="R441" i="2"/>
  <c r="R442" i="2"/>
  <c r="R443" i="2"/>
  <c r="R444" i="2"/>
  <c r="R445" i="2"/>
  <c r="R446" i="2"/>
  <c r="R447" i="2"/>
  <c r="R448" i="2"/>
  <c r="R449" i="2"/>
  <c r="R450" i="2"/>
  <c r="R451" i="2"/>
  <c r="R452" i="2"/>
  <c r="R453" i="2"/>
  <c r="R454" i="2"/>
  <c r="R455" i="2"/>
  <c r="R456" i="2"/>
  <c r="R457" i="2"/>
  <c r="H1" i="2"/>
  <c r="Q1" i="4" l="1"/>
  <c r="M196" i="2"/>
  <c r="J3" i="4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T196" i="2"/>
  <c r="U196" i="2"/>
  <c r="V196" i="2" s="1"/>
  <c r="Z196" i="2" s="1"/>
  <c r="Y196" i="2" l="1"/>
  <c r="T59" i="4" l="1"/>
  <c r="U59" i="4" s="1"/>
  <c r="V59" i="4"/>
  <c r="Z59" i="4" s="1"/>
  <c r="U213" i="2"/>
  <c r="V213" i="2" s="1"/>
  <c r="Z213" i="2" s="1"/>
  <c r="M213" i="2"/>
  <c r="T213" i="2"/>
  <c r="W59" i="4" l="1"/>
  <c r="AA59" i="4" s="1"/>
  <c r="Y213" i="2"/>
  <c r="M416" i="2" l="1"/>
  <c r="M6" i="2"/>
  <c r="M21" i="2"/>
  <c r="M66" i="2"/>
  <c r="M73" i="2"/>
  <c r="M74" i="2"/>
  <c r="M344" i="2"/>
  <c r="M412" i="2"/>
  <c r="M418" i="2"/>
  <c r="M20" i="2"/>
  <c r="M31" i="2"/>
  <c r="M32" i="2"/>
  <c r="M47" i="2"/>
  <c r="M49" i="2"/>
  <c r="M52" i="2"/>
  <c r="M57" i="2"/>
  <c r="M59" i="2"/>
  <c r="M69" i="2"/>
  <c r="M70" i="2"/>
  <c r="M71" i="2"/>
  <c r="M72" i="2"/>
  <c r="M76" i="2"/>
  <c r="M80" i="2"/>
  <c r="M81" i="2"/>
  <c r="M82" i="2"/>
  <c r="M98" i="2"/>
  <c r="M100" i="2"/>
  <c r="M104" i="2"/>
  <c r="M109" i="2"/>
  <c r="M111" i="2"/>
  <c r="M112" i="2"/>
  <c r="M127" i="2"/>
  <c r="M129" i="2"/>
  <c r="M139" i="2"/>
  <c r="M140" i="2"/>
  <c r="M142" i="2"/>
  <c r="M164" i="2"/>
  <c r="M166" i="2"/>
  <c r="M171" i="2"/>
  <c r="M173" i="2"/>
  <c r="M177" i="2"/>
  <c r="M189" i="2"/>
  <c r="M194" i="2"/>
  <c r="M202" i="2"/>
  <c r="M203" i="2"/>
  <c r="M204" i="2"/>
  <c r="M224" i="2"/>
  <c r="M234" i="2"/>
  <c r="M235" i="2"/>
  <c r="M247" i="2"/>
  <c r="M248" i="2"/>
  <c r="M250" i="2"/>
  <c r="M254" i="2"/>
  <c r="M263" i="2"/>
  <c r="M264" i="2"/>
  <c r="M265" i="2"/>
  <c r="M280" i="2"/>
  <c r="M281" i="2"/>
  <c r="M283" i="2"/>
  <c r="M293" i="2"/>
  <c r="M294" i="2"/>
  <c r="M306" i="2"/>
  <c r="M309" i="2"/>
  <c r="M314" i="2"/>
  <c r="M320" i="2"/>
  <c r="M322" i="2"/>
  <c r="M335" i="2"/>
  <c r="M337" i="2"/>
  <c r="M340" i="2"/>
  <c r="M345" i="2"/>
  <c r="M347" i="2"/>
  <c r="M352" i="2"/>
  <c r="M353" i="2"/>
  <c r="M354" i="2"/>
  <c r="M383" i="2"/>
  <c r="M389" i="2"/>
  <c r="M390" i="2"/>
  <c r="M402" i="2"/>
  <c r="M413" i="2"/>
  <c r="M421" i="2"/>
  <c r="M423" i="2"/>
  <c r="M436" i="2"/>
  <c r="M437" i="2"/>
  <c r="M438" i="2"/>
  <c r="M439" i="2"/>
  <c r="M441" i="2"/>
  <c r="M451" i="2"/>
  <c r="M361" i="2"/>
  <c r="M162" i="2"/>
  <c r="M29" i="2"/>
  <c r="M298" i="2"/>
  <c r="M200" i="2"/>
  <c r="M268" i="2"/>
  <c r="M310" i="2"/>
  <c r="M375" i="2"/>
  <c r="M221" i="2"/>
  <c r="M233" i="2"/>
  <c r="M237" i="2"/>
  <c r="M364" i="2"/>
  <c r="M400" i="2"/>
  <c r="M382" i="2"/>
  <c r="M3" i="2"/>
  <c r="M168" i="2"/>
  <c r="M242" i="2"/>
  <c r="M379" i="2"/>
  <c r="M409" i="2"/>
  <c r="M430" i="2"/>
  <c r="M96" i="2"/>
  <c r="M374" i="2"/>
  <c r="M12" i="2"/>
  <c r="M24" i="2"/>
  <c r="M54" i="2"/>
  <c r="M102" i="2"/>
  <c r="M103" i="2"/>
  <c r="M131" i="2"/>
  <c r="M138" i="2"/>
  <c r="M147" i="2"/>
  <c r="M229" i="2"/>
  <c r="M324" i="2"/>
  <c r="M443" i="2"/>
  <c r="M452" i="2"/>
  <c r="M133" i="2"/>
  <c r="M137" i="2"/>
  <c r="M205" i="2"/>
  <c r="M381" i="2"/>
  <c r="M46" i="2"/>
  <c r="M172" i="2"/>
  <c r="M431" i="2"/>
  <c r="M14" i="2"/>
  <c r="M17" i="2"/>
  <c r="M45" i="2"/>
  <c r="M92" i="2"/>
  <c r="M124" i="2"/>
  <c r="M152" i="2"/>
  <c r="M159" i="2"/>
  <c r="M161" i="2"/>
  <c r="M184" i="2"/>
  <c r="M217" i="2"/>
  <c r="M410" i="2"/>
  <c r="M279" i="2"/>
  <c r="M370" i="2"/>
  <c r="M435" i="2"/>
  <c r="M236" i="2"/>
  <c r="M261" i="2"/>
  <c r="M373" i="2"/>
  <c r="M16" i="2"/>
  <c r="M27" i="2"/>
  <c r="M48" i="2"/>
  <c r="M125" i="2"/>
  <c r="M130" i="2"/>
  <c r="M155" i="2"/>
  <c r="M185" i="2"/>
  <c r="M186" i="2"/>
  <c r="M218" i="2"/>
  <c r="M404" i="2"/>
  <c r="M97" i="2"/>
  <c r="L1" i="2"/>
  <c r="M297" i="2"/>
  <c r="I1" i="4"/>
  <c r="M84" i="2" l="1"/>
  <c r="M60" i="2"/>
  <c r="M34" i="2"/>
  <c r="M366" i="2"/>
  <c r="M267" i="2"/>
  <c r="M178" i="2"/>
  <c r="M262" i="2"/>
  <c r="M8" i="2"/>
  <c r="M426" i="2"/>
  <c r="M339" i="2"/>
  <c r="M210" i="2"/>
  <c r="M211" i="2"/>
  <c r="M419" i="2"/>
  <c r="M318" i="2"/>
  <c r="M292" i="2"/>
  <c r="M228" i="2"/>
  <c r="M357" i="2"/>
  <c r="M275" i="2"/>
  <c r="M285" i="2"/>
  <c r="M61" i="2"/>
  <c r="M393" i="2"/>
  <c r="M87" i="2"/>
  <c r="M36" i="2"/>
  <c r="M311" i="2"/>
  <c r="M176" i="2"/>
  <c r="M376" i="2"/>
  <c r="M308" i="2"/>
  <c r="M372" i="2"/>
  <c r="M341" i="2"/>
  <c r="M145" i="2"/>
  <c r="M371" i="2"/>
  <c r="M434" i="2"/>
  <c r="M289" i="2"/>
  <c r="M225" i="2"/>
  <c r="M128" i="2"/>
  <c r="M51" i="2"/>
  <c r="M93" i="2"/>
  <c r="M359" i="2"/>
  <c r="M160" i="2"/>
  <c r="M355" i="2"/>
  <c r="M277" i="2"/>
  <c r="M99" i="2"/>
  <c r="M401" i="2"/>
  <c r="M321" i="2"/>
  <c r="M269" i="2"/>
  <c r="M187" i="2"/>
  <c r="M304" i="2"/>
  <c r="M249" i="2"/>
  <c r="M457" i="2"/>
  <c r="M365" i="2"/>
  <c r="M95" i="2"/>
  <c r="M223" i="2"/>
  <c r="M448" i="2"/>
  <c r="M388" i="2"/>
  <c r="M284" i="2"/>
  <c r="M120" i="2"/>
  <c r="M328" i="2"/>
  <c r="M391" i="2"/>
  <c r="M296" i="2"/>
  <c r="M266" i="2"/>
  <c r="M113" i="2"/>
  <c r="M63" i="2"/>
  <c r="M108" i="2"/>
  <c r="M126" i="2"/>
  <c r="M378" i="2"/>
  <c r="M346" i="2"/>
  <c r="M313" i="2"/>
  <c r="M253" i="2"/>
  <c r="M222" i="2"/>
  <c r="M190" i="2"/>
  <c r="M163" i="2"/>
  <c r="M101" i="2"/>
  <c r="M75" i="2"/>
  <c r="M50" i="2"/>
  <c r="M22" i="2"/>
  <c r="M317" i="2"/>
  <c r="M342" i="2"/>
  <c r="M157" i="2"/>
  <c r="M291" i="2"/>
  <c r="M377" i="2"/>
  <c r="M368" i="2"/>
  <c r="M37" i="2"/>
  <c r="M208" i="2"/>
  <c r="M119" i="2"/>
  <c r="M88" i="2"/>
  <c r="M41" i="2"/>
  <c r="M153" i="2"/>
  <c r="M114" i="2"/>
  <c r="M85" i="2"/>
  <c r="M64" i="2"/>
  <c r="M40" i="2"/>
  <c r="M454" i="2"/>
  <c r="M110" i="2"/>
  <c r="M449" i="2"/>
  <c r="M325" i="2"/>
  <c r="M230" i="2"/>
  <c r="M134" i="2"/>
  <c r="M58" i="2"/>
  <c r="M255" i="2"/>
  <c r="M385" i="2"/>
  <c r="M174" i="2"/>
  <c r="M420" i="2"/>
  <c r="M356" i="2"/>
  <c r="M260" i="2"/>
  <c r="M167" i="2"/>
  <c r="M94" i="2"/>
  <c r="M7" i="2"/>
  <c r="M422" i="2"/>
  <c r="M214" i="2"/>
  <c r="M240" i="2"/>
  <c r="M154" i="2"/>
  <c r="M384" i="2"/>
  <c r="M387" i="2"/>
  <c r="M350" i="2"/>
  <c r="M316" i="2"/>
  <c r="M288" i="2"/>
  <c r="M259" i="2"/>
  <c r="M227" i="2"/>
  <c r="M197" i="2"/>
  <c r="M169" i="2"/>
  <c r="M78" i="2"/>
  <c r="M56" i="2"/>
  <c r="M30" i="2"/>
  <c r="M369" i="2"/>
  <c r="M33" i="2"/>
  <c r="M450" i="2"/>
  <c r="M19" i="2"/>
  <c r="M403" i="2"/>
  <c r="M405" i="2"/>
  <c r="M360" i="2"/>
  <c r="M273" i="2"/>
  <c r="M181" i="2"/>
  <c r="M149" i="2"/>
  <c r="M65" i="2"/>
  <c r="M256" i="2"/>
  <c r="M396" i="2"/>
  <c r="M332" i="2"/>
  <c r="M300" i="2"/>
  <c r="M243" i="2"/>
  <c r="M299" i="2"/>
  <c r="M271" i="2"/>
  <c r="M239" i="2"/>
  <c r="M206" i="2"/>
  <c r="M180" i="2"/>
  <c r="M146" i="2"/>
  <c r="M11" i="2"/>
  <c r="M301" i="2"/>
  <c r="M212" i="2"/>
  <c r="M150" i="2"/>
  <c r="M90" i="2"/>
  <c r="M67" i="2"/>
  <c r="M9" i="2"/>
  <c r="M158" i="2"/>
  <c r="M192" i="2"/>
  <c r="M105" i="2"/>
  <c r="M198" i="2"/>
  <c r="M43" i="2"/>
  <c r="M245" i="2"/>
  <c r="M440" i="2"/>
  <c r="M406" i="2"/>
  <c r="M343" i="2"/>
  <c r="M427" i="2"/>
  <c r="M216" i="2"/>
  <c r="M188" i="2"/>
  <c r="M392" i="2"/>
  <c r="M358" i="2"/>
  <c r="M330" i="2"/>
  <c r="M444" i="2"/>
  <c r="M144" i="2"/>
  <c r="M380" i="2"/>
  <c r="M338" i="2"/>
  <c r="M252" i="2"/>
  <c r="M83" i="2"/>
  <c r="M414" i="2"/>
  <c r="M408" i="2"/>
  <c r="M312" i="2"/>
  <c r="M251" i="2"/>
  <c r="M220" i="2"/>
  <c r="M175" i="2"/>
  <c r="M258" i="2"/>
  <c r="M86" i="2"/>
  <c r="M4" i="2"/>
  <c r="M199" i="2"/>
  <c r="M156" i="2"/>
  <c r="M148" i="2"/>
  <c r="M442" i="2"/>
  <c r="M415" i="2"/>
  <c r="M386" i="2"/>
  <c r="M315" i="2"/>
  <c r="M287" i="2"/>
  <c r="M257" i="2"/>
  <c r="M226" i="2"/>
  <c r="M195" i="2"/>
  <c r="M135" i="2"/>
  <c r="M106" i="2"/>
  <c r="M77" i="2"/>
  <c r="M53" i="2"/>
  <c r="M28" i="2"/>
  <c r="M351" i="2"/>
  <c r="M23" i="2"/>
  <c r="M329" i="2"/>
  <c r="M232" i="2"/>
  <c r="M398" i="2"/>
  <c r="M272" i="2"/>
  <c r="M201" i="2"/>
  <c r="M116" i="2"/>
  <c r="M26" i="2"/>
  <c r="M446" i="2"/>
  <c r="M307" i="2"/>
  <c r="M79" i="2"/>
  <c r="M425" i="2"/>
  <c r="M326" i="2"/>
  <c r="M238" i="2"/>
  <c r="M179" i="2"/>
  <c r="M395" i="2"/>
  <c r="M270" i="2"/>
  <c r="M191" i="2"/>
  <c r="M115" i="2"/>
  <c r="M25" i="2"/>
  <c r="M445" i="2"/>
  <c r="M305" i="2"/>
  <c r="M18" i="2"/>
  <c r="M290" i="2"/>
  <c r="M417" i="2"/>
  <c r="M447" i="2"/>
  <c r="M136" i="2"/>
  <c r="M107" i="2"/>
  <c r="M349" i="2"/>
  <c r="M456" i="2"/>
  <c r="M336" i="2"/>
  <c r="M241" i="2"/>
  <c r="M143" i="2"/>
  <c r="M62" i="2"/>
  <c r="M394" i="2"/>
  <c r="M407" i="2"/>
  <c r="M193" i="2"/>
  <c r="M276" i="2"/>
  <c r="M219" i="2"/>
  <c r="M331" i="2"/>
  <c r="M15" i="2"/>
  <c r="M246" i="2"/>
  <c r="M10" i="2"/>
  <c r="M327" i="2"/>
  <c r="M362" i="2"/>
  <c r="M182" i="2"/>
  <c r="M42" i="2"/>
  <c r="M428" i="2"/>
  <c r="M55" i="2"/>
  <c r="M433" i="2"/>
  <c r="M118" i="2"/>
  <c r="M397" i="2"/>
  <c r="M411" i="2"/>
  <c r="M278" i="2"/>
  <c r="M207" i="2"/>
  <c r="M117" i="2"/>
  <c r="M35" i="2"/>
  <c r="M453" i="2"/>
  <c r="M319" i="2"/>
  <c r="M89" i="2"/>
  <c r="M295" i="2"/>
  <c r="M121" i="2"/>
  <c r="M170" i="2"/>
  <c r="M303" i="2"/>
  <c r="M429" i="2"/>
  <c r="M286" i="2"/>
  <c r="M39" i="2"/>
  <c r="M348" i="2"/>
  <c r="M5" i="2"/>
  <c r="M363" i="2"/>
  <c r="M399" i="2"/>
  <c r="M334" i="2"/>
  <c r="M302" i="2"/>
  <c r="M215" i="2"/>
  <c r="M183" i="2"/>
  <c r="M151" i="2"/>
  <c r="M122" i="2"/>
  <c r="M91" i="2"/>
  <c r="M68" i="2"/>
  <c r="M44" i="2"/>
  <c r="M165" i="2"/>
  <c r="M424" i="2"/>
  <c r="M209" i="2"/>
  <c r="M455" i="2"/>
  <c r="M323" i="2"/>
  <c r="M231" i="2"/>
  <c r="M432" i="2"/>
  <c r="M333" i="2"/>
  <c r="M244" i="2"/>
  <c r="M123" i="2"/>
  <c r="M141" i="2"/>
  <c r="M367" i="2"/>
  <c r="M282" i="2"/>
  <c r="M38" i="2"/>
  <c r="M132" i="2"/>
  <c r="M13" i="2"/>
  <c r="M274" i="2"/>
  <c r="T3" i="4" l="1"/>
  <c r="T4" i="4"/>
  <c r="U4" i="4" s="1"/>
  <c r="T5" i="4"/>
  <c r="U5" i="4" s="1"/>
  <c r="T6" i="4"/>
  <c r="U6" i="4" s="1"/>
  <c r="T7" i="4"/>
  <c r="U7" i="4" s="1"/>
  <c r="T8" i="4"/>
  <c r="U8" i="4" s="1"/>
  <c r="T9" i="4"/>
  <c r="U9" i="4" s="1"/>
  <c r="T10" i="4"/>
  <c r="U10" i="4" s="1"/>
  <c r="T11" i="4"/>
  <c r="U11" i="4" s="1"/>
  <c r="T12" i="4"/>
  <c r="U12" i="4" s="1"/>
  <c r="T13" i="4"/>
  <c r="U13" i="4" s="1"/>
  <c r="T14" i="4"/>
  <c r="U14" i="4" s="1"/>
  <c r="T15" i="4"/>
  <c r="U15" i="4" s="1"/>
  <c r="T16" i="4"/>
  <c r="U16" i="4" s="1"/>
  <c r="T17" i="4"/>
  <c r="U17" i="4" s="1"/>
  <c r="T18" i="4"/>
  <c r="U18" i="4" s="1"/>
  <c r="T19" i="4"/>
  <c r="U19" i="4" s="1"/>
  <c r="T20" i="4"/>
  <c r="U20" i="4" s="1"/>
  <c r="T21" i="4"/>
  <c r="U21" i="4" s="1"/>
  <c r="T22" i="4"/>
  <c r="U22" i="4" s="1"/>
  <c r="T23" i="4"/>
  <c r="U23" i="4" s="1"/>
  <c r="T24" i="4"/>
  <c r="U24" i="4" s="1"/>
  <c r="T25" i="4"/>
  <c r="U25" i="4" s="1"/>
  <c r="T26" i="4"/>
  <c r="U26" i="4" s="1"/>
  <c r="T27" i="4"/>
  <c r="U27" i="4" s="1"/>
  <c r="T28" i="4"/>
  <c r="U28" i="4" s="1"/>
  <c r="T29" i="4"/>
  <c r="U29" i="4" s="1"/>
  <c r="T30" i="4"/>
  <c r="U30" i="4" s="1"/>
  <c r="T31" i="4"/>
  <c r="U31" i="4" s="1"/>
  <c r="T32" i="4"/>
  <c r="U32" i="4" s="1"/>
  <c r="T33" i="4"/>
  <c r="U33" i="4" s="1"/>
  <c r="T34" i="4"/>
  <c r="U34" i="4" s="1"/>
  <c r="T35" i="4"/>
  <c r="U35" i="4" s="1"/>
  <c r="T36" i="4"/>
  <c r="U36" i="4" s="1"/>
  <c r="T37" i="4"/>
  <c r="U37" i="4" s="1"/>
  <c r="T38" i="4"/>
  <c r="U38" i="4" s="1"/>
  <c r="T39" i="4"/>
  <c r="U39" i="4" s="1"/>
  <c r="T40" i="4"/>
  <c r="U40" i="4" s="1"/>
  <c r="T41" i="4"/>
  <c r="U41" i="4" s="1"/>
  <c r="T42" i="4"/>
  <c r="U42" i="4" s="1"/>
  <c r="T43" i="4"/>
  <c r="U43" i="4" s="1"/>
  <c r="T44" i="4"/>
  <c r="U44" i="4" s="1"/>
  <c r="T45" i="4"/>
  <c r="U45" i="4" s="1"/>
  <c r="T46" i="4"/>
  <c r="U46" i="4" s="1"/>
  <c r="T47" i="4"/>
  <c r="U47" i="4" s="1"/>
  <c r="T48" i="4"/>
  <c r="U48" i="4" s="1"/>
  <c r="T49" i="4"/>
  <c r="U49" i="4" s="1"/>
  <c r="T50" i="4"/>
  <c r="U50" i="4" s="1"/>
  <c r="T51" i="4"/>
  <c r="U51" i="4" s="1"/>
  <c r="T52" i="4"/>
  <c r="U52" i="4" s="1"/>
  <c r="T53" i="4"/>
  <c r="U53" i="4" s="1"/>
  <c r="T54" i="4"/>
  <c r="U54" i="4" s="1"/>
  <c r="T55" i="4"/>
  <c r="U55" i="4" s="1"/>
  <c r="T56" i="4"/>
  <c r="U56" i="4" s="1"/>
  <c r="T57" i="4"/>
  <c r="U57" i="4" s="1"/>
  <c r="T58" i="4"/>
  <c r="U58" i="4" s="1"/>
  <c r="T60" i="4"/>
  <c r="U60" i="4" s="1"/>
  <c r="T61" i="4"/>
  <c r="U61" i="4" s="1"/>
  <c r="T62" i="4"/>
  <c r="U62" i="4" s="1"/>
  <c r="T63" i="4"/>
  <c r="U63" i="4" s="1"/>
  <c r="T64" i="4"/>
  <c r="U64" i="4" s="1"/>
  <c r="T65" i="4"/>
  <c r="U65" i="4" s="1"/>
  <c r="T66" i="4"/>
  <c r="U66" i="4" s="1"/>
  <c r="T67" i="4"/>
  <c r="U67" i="4" s="1"/>
  <c r="T68" i="4"/>
  <c r="U68" i="4" s="1"/>
  <c r="T69" i="4"/>
  <c r="U69" i="4" s="1"/>
  <c r="T70" i="4"/>
  <c r="U70" i="4" s="1"/>
  <c r="T71" i="4"/>
  <c r="U71" i="4" s="1"/>
  <c r="T72" i="4"/>
  <c r="U72" i="4" s="1"/>
  <c r="T73" i="4"/>
  <c r="U73" i="4" s="1"/>
  <c r="T88" i="2"/>
  <c r="T104" i="2"/>
  <c r="T114" i="2"/>
  <c r="T120" i="2"/>
  <c r="T136" i="2"/>
  <c r="T162" i="2"/>
  <c r="T168" i="2"/>
  <c r="T181" i="2"/>
  <c r="T184" i="2"/>
  <c r="T202" i="2"/>
  <c r="T211" i="2"/>
  <c r="T215" i="2"/>
  <c r="T218" i="2"/>
  <c r="T222" i="2"/>
  <c r="T226" i="2"/>
  <c r="T227" i="2"/>
  <c r="T230" i="2"/>
  <c r="T233" i="2"/>
  <c r="T236" i="2"/>
  <c r="T244" i="2"/>
  <c r="T246" i="2"/>
  <c r="T252" i="2"/>
  <c r="T254" i="2"/>
  <c r="T267" i="2"/>
  <c r="T279" i="2"/>
  <c r="T282" i="2"/>
  <c r="T283" i="2"/>
  <c r="T285" i="2"/>
  <c r="T291" i="2"/>
  <c r="T292" i="2"/>
  <c r="T307" i="2"/>
  <c r="T309" i="2"/>
  <c r="T311" i="2"/>
  <c r="T315" i="2"/>
  <c r="T323" i="2"/>
  <c r="T324" i="2"/>
  <c r="T330" i="2"/>
  <c r="T331" i="2"/>
  <c r="T333" i="2"/>
  <c r="T335" i="2"/>
  <c r="T340" i="2"/>
  <c r="T341" i="2"/>
  <c r="T344" i="2"/>
  <c r="T347" i="2"/>
  <c r="T348" i="2"/>
  <c r="T350" i="2"/>
  <c r="T357" i="2"/>
  <c r="T358" i="2"/>
  <c r="T363" i="2"/>
  <c r="T364" i="2"/>
  <c r="T368" i="2"/>
  <c r="T372" i="2"/>
  <c r="T374" i="2"/>
  <c r="T380" i="2"/>
  <c r="T382" i="2"/>
  <c r="T385" i="2"/>
  <c r="T391" i="2"/>
  <c r="T396" i="2"/>
  <c r="T397" i="2"/>
  <c r="T401" i="2"/>
  <c r="T406" i="2"/>
  <c r="T407" i="2"/>
  <c r="T413" i="2"/>
  <c r="T414" i="2"/>
  <c r="T384" i="2"/>
  <c r="T422" i="2"/>
  <c r="T423" i="2"/>
  <c r="T424" i="2"/>
  <c r="T429" i="2"/>
  <c r="T430" i="2"/>
  <c r="T432" i="2"/>
  <c r="T437" i="2"/>
  <c r="T438" i="2"/>
  <c r="T439" i="2"/>
  <c r="T440" i="2"/>
  <c r="T442" i="2"/>
  <c r="T443" i="2"/>
  <c r="T444" i="2"/>
  <c r="T445" i="2"/>
  <c r="T446" i="2"/>
  <c r="T448" i="2"/>
  <c r="T450" i="2"/>
  <c r="T452" i="2"/>
  <c r="T453" i="2"/>
  <c r="T454" i="2"/>
  <c r="T455" i="2"/>
  <c r="T456" i="2"/>
  <c r="N1" i="2"/>
  <c r="O1" i="2"/>
  <c r="P1" i="2"/>
  <c r="Q1" i="2"/>
  <c r="R1" i="2"/>
  <c r="W1" i="2"/>
  <c r="X1" i="2"/>
  <c r="K1" i="2"/>
  <c r="J1" i="2"/>
  <c r="T209" i="2"/>
  <c r="T297" i="2"/>
  <c r="T425" i="2"/>
  <c r="T15" i="2"/>
  <c r="T36" i="2"/>
  <c r="T99" i="2"/>
  <c r="T55" i="2"/>
  <c r="T403" i="2"/>
  <c r="T66" i="2"/>
  <c r="T317" i="2"/>
  <c r="T328" i="2"/>
  <c r="T11" i="2"/>
  <c r="T33" i="2"/>
  <c r="T381" i="2"/>
  <c r="T29" i="2"/>
  <c r="T188" i="2"/>
  <c r="T394" i="2"/>
  <c r="T21" i="2"/>
  <c r="T145" i="2"/>
  <c r="T308" i="2"/>
  <c r="T431" i="2"/>
  <c r="T57" i="2"/>
  <c r="T200" i="2"/>
  <c r="T261" i="2"/>
  <c r="T216" i="2"/>
  <c r="T373" i="2"/>
  <c r="T126" i="2"/>
  <c r="T153" i="2"/>
  <c r="T157" i="2"/>
  <c r="T248" i="2"/>
  <c r="T303" i="2"/>
  <c r="T379" i="2"/>
  <c r="T417" i="2"/>
  <c r="T89" i="2"/>
  <c r="T110" i="2"/>
  <c r="T113" i="2"/>
  <c r="T268" i="2"/>
  <c r="T409" i="2"/>
  <c r="T420" i="2"/>
  <c r="T5" i="2"/>
  <c r="T13" i="2"/>
  <c r="T75" i="2"/>
  <c r="T105" i="2"/>
  <c r="T165" i="2"/>
  <c r="T214" i="2"/>
  <c r="T240" i="2"/>
  <c r="T245" i="2"/>
  <c r="T277" i="2"/>
  <c r="T351" i="2"/>
  <c r="T402" i="2"/>
  <c r="T411" i="2"/>
  <c r="T416" i="2"/>
  <c r="T10" i="2"/>
  <c r="T18" i="2"/>
  <c r="T19" i="2"/>
  <c r="T54" i="2"/>
  <c r="T61" i="2"/>
  <c r="T65" i="2"/>
  <c r="T67" i="2"/>
  <c r="T72" i="2"/>
  <c r="T74" i="2"/>
  <c r="T87" i="2"/>
  <c r="T158" i="2"/>
  <c r="T194" i="2"/>
  <c r="T247" i="2"/>
  <c r="T339" i="2"/>
  <c r="T369" i="2"/>
  <c r="T386" i="2"/>
  <c r="T388" i="2"/>
  <c r="T256" i="2"/>
  <c r="T6" i="2"/>
  <c r="T342" i="2"/>
  <c r="T17" i="2"/>
  <c r="T23" i="2"/>
  <c r="T51" i="2"/>
  <c r="T68" i="2"/>
  <c r="T70" i="2"/>
  <c r="T77" i="2"/>
  <c r="T81" i="2"/>
  <c r="T96" i="2"/>
  <c r="T108" i="2"/>
  <c r="T170" i="2"/>
  <c r="T190" i="2"/>
  <c r="T195" i="2"/>
  <c r="T197" i="2"/>
  <c r="T198" i="2"/>
  <c r="T199" i="2"/>
  <c r="T290" i="2"/>
  <c r="T306" i="2"/>
  <c r="T310" i="2"/>
  <c r="T314" i="2"/>
  <c r="T393" i="2"/>
  <c r="T404" i="2"/>
  <c r="T408" i="2"/>
  <c r="T451" i="2"/>
  <c r="T3" i="2"/>
  <c r="T9" i="2"/>
  <c r="T12" i="2"/>
  <c r="T14" i="2"/>
  <c r="T34" i="2"/>
  <c r="T35" i="2"/>
  <c r="T53" i="2"/>
  <c r="T59" i="2"/>
  <c r="T62" i="2"/>
  <c r="T63" i="2"/>
  <c r="T64" i="2"/>
  <c r="T69" i="2"/>
  <c r="T71" i="2"/>
  <c r="T73" i="2"/>
  <c r="T78" i="2"/>
  <c r="T83" i="2"/>
  <c r="T92" i="2"/>
  <c r="T121" i="2"/>
  <c r="T141" i="2"/>
  <c r="T156" i="2"/>
  <c r="T172" i="2"/>
  <c r="T191" i="2"/>
  <c r="T203" i="2"/>
  <c r="T208" i="2"/>
  <c r="T410" i="2"/>
  <c r="T220" i="2"/>
  <c r="T249" i="2"/>
  <c r="T273" i="2"/>
  <c r="T287" i="2"/>
  <c r="T288" i="2"/>
  <c r="T302" i="2"/>
  <c r="T375" i="2"/>
  <c r="T390" i="2"/>
  <c r="T399" i="2"/>
  <c r="T400" i="2"/>
  <c r="T418" i="2"/>
  <c r="T419" i="2"/>
  <c r="T426" i="2"/>
  <c r="T436" i="2"/>
  <c r="T441" i="2"/>
  <c r="T449" i="2"/>
  <c r="T8" i="2"/>
  <c r="T20" i="2"/>
  <c r="T26" i="2"/>
  <c r="T30" i="2"/>
  <c r="T31" i="2"/>
  <c r="T37" i="2"/>
  <c r="T38" i="2"/>
  <c r="T40" i="2"/>
  <c r="T41" i="2"/>
  <c r="T42" i="2"/>
  <c r="T46" i="2"/>
  <c r="T48" i="2"/>
  <c r="T50" i="2"/>
  <c r="T52" i="2"/>
  <c r="T56" i="2"/>
  <c r="T76" i="2"/>
  <c r="T79" i="2"/>
  <c r="T80" i="2"/>
  <c r="T90" i="2"/>
  <c r="T91" i="2"/>
  <c r="T95" i="2"/>
  <c r="T102" i="2"/>
  <c r="T111" i="2"/>
  <c r="T132" i="2"/>
  <c r="T137" i="2"/>
  <c r="T138" i="2"/>
  <c r="T146" i="2"/>
  <c r="T147" i="2"/>
  <c r="T148" i="2"/>
  <c r="T149" i="2"/>
  <c r="T151" i="2"/>
  <c r="T152" i="2"/>
  <c r="T167" i="2"/>
  <c r="T176" i="2"/>
  <c r="T178" i="2"/>
  <c r="T180" i="2"/>
  <c r="T186" i="2"/>
  <c r="T192" i="2"/>
  <c r="T193" i="2"/>
  <c r="T201" i="2"/>
  <c r="T206" i="2"/>
  <c r="T207" i="2"/>
  <c r="T219" i="2"/>
  <c r="T234" i="2"/>
  <c r="T239" i="2"/>
  <c r="T243" i="2"/>
  <c r="T251" i="2"/>
  <c r="T255" i="2"/>
  <c r="T264" i="2"/>
  <c r="T266" i="2"/>
  <c r="T270" i="2"/>
  <c r="T272" i="2"/>
  <c r="T275" i="2"/>
  <c r="T280" i="2"/>
  <c r="T284" i="2"/>
  <c r="T289" i="2"/>
  <c r="T295" i="2"/>
  <c r="T298" i="2"/>
  <c r="T299" i="2"/>
  <c r="T300" i="2"/>
  <c r="T301" i="2"/>
  <c r="T321" i="2"/>
  <c r="T325" i="2"/>
  <c r="T361" i="2"/>
  <c r="T377" i="2"/>
  <c r="T387" i="2"/>
  <c r="T392" i="2"/>
  <c r="T398" i="2"/>
  <c r="T405" i="2"/>
  <c r="T412" i="2"/>
  <c r="T415" i="2"/>
  <c r="T421" i="2"/>
  <c r="T428" i="2"/>
  <c r="T433" i="2"/>
  <c r="T447" i="2"/>
  <c r="T457" i="2"/>
  <c r="T4" i="2"/>
  <c r="T7" i="2"/>
  <c r="T16" i="2"/>
  <c r="T22" i="2"/>
  <c r="T24" i="2"/>
  <c r="T25" i="2"/>
  <c r="T27" i="2"/>
  <c r="T28" i="2"/>
  <c r="T32" i="2"/>
  <c r="T39" i="2"/>
  <c r="T43" i="2"/>
  <c r="T44" i="2"/>
  <c r="T45" i="2"/>
  <c r="T47" i="2"/>
  <c r="T49" i="2"/>
  <c r="T58" i="2"/>
  <c r="T60" i="2"/>
  <c r="T82" i="2"/>
  <c r="T84" i="2"/>
  <c r="T85" i="2"/>
  <c r="T86" i="2"/>
  <c r="T93" i="2"/>
  <c r="T94" i="2"/>
  <c r="T97" i="2"/>
  <c r="T98" i="2"/>
  <c r="T100" i="2"/>
  <c r="T101" i="2"/>
  <c r="T103" i="2"/>
  <c r="T106" i="2"/>
  <c r="T107" i="2"/>
  <c r="T109" i="2"/>
  <c r="T112" i="2"/>
  <c r="T115" i="2"/>
  <c r="T116" i="2"/>
  <c r="T117" i="2"/>
  <c r="T118" i="2"/>
  <c r="T119" i="2"/>
  <c r="T122" i="2"/>
  <c r="T123" i="2"/>
  <c r="T124" i="2"/>
  <c r="T125" i="2"/>
  <c r="T127" i="2"/>
  <c r="T128" i="2"/>
  <c r="T129" i="2"/>
  <c r="T130" i="2"/>
  <c r="T131" i="2"/>
  <c r="T133" i="2"/>
  <c r="T134" i="2"/>
  <c r="T135" i="2"/>
  <c r="T139" i="2"/>
  <c r="T140" i="2"/>
  <c r="T142" i="2"/>
  <c r="T143" i="2"/>
  <c r="T144" i="2"/>
  <c r="T150" i="2"/>
  <c r="T154" i="2"/>
  <c r="T155" i="2"/>
  <c r="T159" i="2"/>
  <c r="T160" i="2"/>
  <c r="T161" i="2"/>
  <c r="T163" i="2"/>
  <c r="T164" i="2"/>
  <c r="T166" i="2"/>
  <c r="T169" i="2"/>
  <c r="T171" i="2"/>
  <c r="T173" i="2"/>
  <c r="T174" i="2"/>
  <c r="T175" i="2"/>
  <c r="T177" i="2"/>
  <c r="T179" i="2"/>
  <c r="T182" i="2"/>
  <c r="T183" i="2"/>
  <c r="T185" i="2"/>
  <c r="T187" i="2"/>
  <c r="T189" i="2"/>
  <c r="T204" i="2"/>
  <c r="T205" i="2"/>
  <c r="T210" i="2"/>
  <c r="T212" i="2"/>
  <c r="T217" i="2"/>
  <c r="T221" i="2"/>
  <c r="T223" i="2"/>
  <c r="T224" i="2"/>
  <c r="T225" i="2"/>
  <c r="T228" i="2"/>
  <c r="T229" i="2"/>
  <c r="T231" i="2"/>
  <c r="T232" i="2"/>
  <c r="T235" i="2"/>
  <c r="T237" i="2"/>
  <c r="T238" i="2"/>
  <c r="T241" i="2"/>
  <c r="T242" i="2"/>
  <c r="T250" i="2"/>
  <c r="T253" i="2"/>
  <c r="T257" i="2"/>
  <c r="T258" i="2"/>
  <c r="T259" i="2"/>
  <c r="T260" i="2"/>
  <c r="T262" i="2"/>
  <c r="T263" i="2"/>
  <c r="T265" i="2"/>
  <c r="T269" i="2"/>
  <c r="T271" i="2"/>
  <c r="T274" i="2"/>
  <c r="T276" i="2"/>
  <c r="T278" i="2"/>
  <c r="T281" i="2"/>
  <c r="T286" i="2"/>
  <c r="T293" i="2"/>
  <c r="T294" i="2"/>
  <c r="T296" i="2"/>
  <c r="T304" i="2"/>
  <c r="T305" i="2"/>
  <c r="T312" i="2"/>
  <c r="T313" i="2"/>
  <c r="T316" i="2"/>
  <c r="T318" i="2"/>
  <c r="T319" i="2"/>
  <c r="T320" i="2"/>
  <c r="T322" i="2"/>
  <c r="T326" i="2"/>
  <c r="T327" i="2"/>
  <c r="T329" i="2"/>
  <c r="T332" i="2"/>
  <c r="T334" i="2"/>
  <c r="T336" i="2"/>
  <c r="T337" i="2"/>
  <c r="T338" i="2"/>
  <c r="T343" i="2"/>
  <c r="T345" i="2"/>
  <c r="T346" i="2"/>
  <c r="T349" i="2"/>
  <c r="T352" i="2"/>
  <c r="T353" i="2"/>
  <c r="T354" i="2"/>
  <c r="T355" i="2"/>
  <c r="T356" i="2"/>
  <c r="T359" i="2"/>
  <c r="T360" i="2"/>
  <c r="T362" i="2"/>
  <c r="T365" i="2"/>
  <c r="T366" i="2"/>
  <c r="T367" i="2"/>
  <c r="T370" i="2"/>
  <c r="T371" i="2"/>
  <c r="T376" i="2"/>
  <c r="T378" i="2"/>
  <c r="T383" i="2"/>
  <c r="T389" i="2"/>
  <c r="T395" i="2"/>
  <c r="T427" i="2"/>
  <c r="T434" i="2"/>
  <c r="T435" i="2"/>
  <c r="D1" i="2"/>
  <c r="U7" i="2"/>
  <c r="Y7" i="2" s="1"/>
  <c r="U257" i="2"/>
  <c r="V257" i="2" s="1"/>
  <c r="Z257" i="2" s="1"/>
  <c r="U279" i="2"/>
  <c r="V279" i="2" s="1"/>
  <c r="Z279" i="2" s="1"/>
  <c r="U3" i="4" l="1"/>
  <c r="U1" i="4" s="1"/>
  <c r="T1" i="4"/>
  <c r="S1" i="2"/>
  <c r="T1" i="2"/>
  <c r="Y257" i="2"/>
  <c r="V7" i="2"/>
  <c r="Z7" i="2" s="1"/>
  <c r="Y279" i="2"/>
  <c r="U303" i="2" l="1"/>
  <c r="Y303" i="2" s="1"/>
  <c r="U21" i="2"/>
  <c r="V21" i="2" s="1"/>
  <c r="Z21" i="2" s="1"/>
  <c r="U157" i="2"/>
  <c r="Y157" i="2" s="1"/>
  <c r="U165" i="2"/>
  <c r="Y165" i="2" s="1"/>
  <c r="U6" i="2"/>
  <c r="Y6" i="2" s="1"/>
  <c r="U342" i="2"/>
  <c r="Y342" i="2" s="1"/>
  <c r="U113" i="2"/>
  <c r="Y113" i="2" s="1"/>
  <c r="U158" i="2"/>
  <c r="Y158" i="2" s="1"/>
  <c r="U386" i="2"/>
  <c r="Y386" i="2" s="1"/>
  <c r="U438" i="2"/>
  <c r="V438" i="2" s="1"/>
  <c r="Z438" i="2" s="1"/>
  <c r="U59" i="2"/>
  <c r="Y59" i="2" s="1"/>
  <c r="U61" i="2"/>
  <c r="Y61" i="2" s="1"/>
  <c r="U135" i="2"/>
  <c r="V135" i="2" s="1"/>
  <c r="Z135" i="2" s="1"/>
  <c r="U141" i="2"/>
  <c r="Y141" i="2" s="1"/>
  <c r="U388" i="2"/>
  <c r="V388" i="2" s="1"/>
  <c r="Z388" i="2" s="1"/>
  <c r="U410" i="2"/>
  <c r="U306" i="2"/>
  <c r="U314" i="2"/>
  <c r="Y314" i="2" s="1"/>
  <c r="U449" i="2"/>
  <c r="Y449" i="2" s="1"/>
  <c r="U450" i="2"/>
  <c r="Y450" i="2" s="1"/>
  <c r="U32" i="2"/>
  <c r="V32" i="2" s="1"/>
  <c r="Z32" i="2" s="1"/>
  <c r="U34" i="2"/>
  <c r="V34" i="2" s="1"/>
  <c r="Z34" i="2" s="1"/>
  <c r="U76" i="2"/>
  <c r="Y76" i="2" s="1"/>
  <c r="U78" i="2"/>
  <c r="V78" i="2" s="1"/>
  <c r="Z78" i="2" s="1"/>
  <c r="U122" i="2"/>
  <c r="V122" i="2" s="1"/>
  <c r="Z122" i="2" s="1"/>
  <c r="U127" i="2"/>
  <c r="Y127" i="2" s="1"/>
  <c r="U396" i="2"/>
  <c r="V396" i="2" s="1"/>
  <c r="Z396" i="2" s="1"/>
  <c r="U166" i="2"/>
  <c r="Y166" i="2" s="1"/>
  <c r="U203" i="2"/>
  <c r="V203" i="2" s="1"/>
  <c r="Z203" i="2" s="1"/>
  <c r="U206" i="2"/>
  <c r="Y206" i="2" s="1"/>
  <c r="U251" i="2"/>
  <c r="U259" i="2"/>
  <c r="Y259" i="2" s="1"/>
  <c r="U289" i="2"/>
  <c r="Y289" i="2" s="1"/>
  <c r="U298" i="2"/>
  <c r="V298" i="2" s="1"/>
  <c r="Z298" i="2" s="1"/>
  <c r="U333" i="2"/>
  <c r="Y333" i="2" s="1"/>
  <c r="U335" i="2"/>
  <c r="Y335" i="2" s="1"/>
  <c r="U368" i="2"/>
  <c r="V368" i="2" s="1"/>
  <c r="Z368" i="2" s="1"/>
  <c r="U376" i="2"/>
  <c r="Y376" i="2" s="1"/>
  <c r="U429" i="2"/>
  <c r="V429" i="2" s="1"/>
  <c r="Z429" i="2" s="1"/>
  <c r="U430" i="2"/>
  <c r="V430" i="2" s="1"/>
  <c r="Z430" i="2" s="1"/>
  <c r="U16" i="2"/>
  <c r="Y16" i="2" s="1"/>
  <c r="U22" i="2"/>
  <c r="V22" i="2" s="1"/>
  <c r="Z22" i="2" s="1"/>
  <c r="U107" i="2"/>
  <c r="V107" i="2" s="1"/>
  <c r="Z107" i="2" s="1"/>
  <c r="U109" i="2"/>
  <c r="U181" i="2"/>
  <c r="Y181" i="2" s="1"/>
  <c r="U182" i="2"/>
  <c r="V182" i="2" s="1"/>
  <c r="Z182" i="2" s="1"/>
  <c r="U227" i="2"/>
  <c r="V227" i="2" s="1"/>
  <c r="Z227" i="2" s="1"/>
  <c r="U229" i="2"/>
  <c r="V229" i="2" s="1"/>
  <c r="Z229" i="2" s="1"/>
  <c r="U232" i="2"/>
  <c r="V232" i="2" s="1"/>
  <c r="Z232" i="2" s="1"/>
  <c r="U294" i="2"/>
  <c r="Y294" i="2" s="1"/>
  <c r="U349" i="2"/>
  <c r="V349" i="2" s="1"/>
  <c r="Z349" i="2" s="1"/>
  <c r="U350" i="2"/>
  <c r="V350" i="2" s="1"/>
  <c r="Z350" i="2" s="1"/>
  <c r="U352" i="2"/>
  <c r="Y352" i="2" s="1"/>
  <c r="U356" i="2"/>
  <c r="Y356" i="2" s="1"/>
  <c r="U378" i="2"/>
  <c r="V378" i="2" s="1"/>
  <c r="Z378" i="2" s="1"/>
  <c r="U413" i="2"/>
  <c r="Y413" i="2" s="1"/>
  <c r="U383" i="2"/>
  <c r="V383" i="2" s="1"/>
  <c r="Z383" i="2" s="1"/>
  <c r="U36" i="2"/>
  <c r="Y36" i="2" s="1"/>
  <c r="U136" i="2"/>
  <c r="Y136" i="2" s="1"/>
  <c r="U151" i="2"/>
  <c r="Y151" i="2" s="1"/>
  <c r="U177" i="2"/>
  <c r="Y177" i="2" s="1"/>
  <c r="U178" i="2"/>
  <c r="Y178" i="2" s="1"/>
  <c r="U184" i="2"/>
  <c r="Y184" i="2" s="1"/>
  <c r="U192" i="2"/>
  <c r="V192" i="2" s="1"/>
  <c r="Z192" i="2" s="1"/>
  <c r="U217" i="2"/>
  <c r="Y217" i="2" s="1"/>
  <c r="U219" i="2"/>
  <c r="V219" i="2" s="1"/>
  <c r="Z219" i="2" s="1"/>
  <c r="U230" i="2"/>
  <c r="V230" i="2" s="1"/>
  <c r="Z230" i="2" s="1"/>
  <c r="U234" i="2"/>
  <c r="Y234" i="2" s="1"/>
  <c r="U242" i="2"/>
  <c r="Y242" i="2" s="1"/>
  <c r="U266" i="2"/>
  <c r="Y266" i="2" s="1"/>
  <c r="U269" i="2"/>
  <c r="V269" i="2" s="1"/>
  <c r="Z269" i="2" s="1"/>
  <c r="U271" i="2"/>
  <c r="Y271" i="2" s="1"/>
  <c r="U272" i="2"/>
  <c r="Y272" i="2" s="1"/>
  <c r="U275" i="2"/>
  <c r="Y275" i="2" s="1"/>
  <c r="U304" i="2"/>
  <c r="Y304" i="2" s="1"/>
  <c r="U309" i="2"/>
  <c r="Y309" i="2" s="1"/>
  <c r="U313" i="2"/>
  <c r="V313" i="2" s="1"/>
  <c r="Z313" i="2" s="1"/>
  <c r="U319" i="2"/>
  <c r="U326" i="2"/>
  <c r="V326" i="2" s="1"/>
  <c r="Z326" i="2" s="1"/>
  <c r="U340" i="2"/>
  <c r="V340" i="2" s="1"/>
  <c r="Z340" i="2" s="1"/>
  <c r="U341" i="2"/>
  <c r="U346" i="2"/>
  <c r="V346" i="2" s="1"/>
  <c r="Z346" i="2" s="1"/>
  <c r="U347" i="2"/>
  <c r="Y347" i="2" s="1"/>
  <c r="U355" i="2"/>
  <c r="Y355" i="2" s="1"/>
  <c r="U412" i="2"/>
  <c r="U415" i="2"/>
  <c r="Y415" i="2" s="1"/>
  <c r="U387" i="2"/>
  <c r="Y387" i="2" s="1"/>
  <c r="U421" i="2"/>
  <c r="Y421" i="2" s="1"/>
  <c r="U397" i="2"/>
  <c r="V397" i="2" s="1"/>
  <c r="Z397" i="2" s="1"/>
  <c r="U407" i="2"/>
  <c r="Y407" i="2" s="1"/>
  <c r="U440" i="2"/>
  <c r="V440" i="2" s="1"/>
  <c r="Z440" i="2" s="1"/>
  <c r="U444" i="2"/>
  <c r="Y444" i="2" s="1"/>
  <c r="U445" i="2"/>
  <c r="V445" i="2" s="1"/>
  <c r="Z445" i="2" s="1"/>
  <c r="U455" i="2"/>
  <c r="V455" i="2" s="1"/>
  <c r="Z455" i="2" s="1"/>
  <c r="U45" i="2"/>
  <c r="V45" i="2" s="1"/>
  <c r="Z45" i="2" s="1"/>
  <c r="U49" i="2"/>
  <c r="Y49" i="2" s="1"/>
  <c r="U84" i="2"/>
  <c r="Y84" i="2" s="1"/>
  <c r="U86" i="2"/>
  <c r="V86" i="2" s="1"/>
  <c r="Z86" i="2" s="1"/>
  <c r="U97" i="2"/>
  <c r="V97" i="2" s="1"/>
  <c r="Z97" i="2" s="1"/>
  <c r="U116" i="2"/>
  <c r="V116" i="2" s="1"/>
  <c r="Z116" i="2" s="1"/>
  <c r="U117" i="2"/>
  <c r="V117" i="2" s="1"/>
  <c r="Z117" i="2" s="1"/>
  <c r="U120" i="2"/>
  <c r="Y120" i="2" s="1"/>
  <c r="U123" i="2"/>
  <c r="V123" i="2" s="1"/>
  <c r="Z123" i="2" s="1"/>
  <c r="U128" i="2"/>
  <c r="Y128" i="2" s="1"/>
  <c r="U155" i="2"/>
  <c r="V155" i="2" s="1"/>
  <c r="Z155" i="2" s="1"/>
  <c r="U160" i="2"/>
  <c r="V160" i="2" s="1"/>
  <c r="Z160" i="2" s="1"/>
  <c r="U163" i="2"/>
  <c r="Y163" i="2" s="1"/>
  <c r="U171" i="2"/>
  <c r="Y171" i="2" s="1"/>
  <c r="U204" i="2"/>
  <c r="V204" i="2" s="1"/>
  <c r="Z204" i="2" s="1"/>
  <c r="U205" i="2"/>
  <c r="V205" i="2" s="1"/>
  <c r="Z205" i="2" s="1"/>
  <c r="U221" i="2"/>
  <c r="U224" i="2"/>
  <c r="U237" i="2"/>
  <c r="Y237" i="2" s="1"/>
  <c r="U254" i="2"/>
  <c r="V254" i="2" s="1"/>
  <c r="Z254" i="2" s="1"/>
  <c r="U296" i="2"/>
  <c r="V296" i="2" s="1"/>
  <c r="Z296" i="2" s="1"/>
  <c r="U315" i="2"/>
  <c r="Y315" i="2" s="1"/>
  <c r="U320" i="2"/>
  <c r="V320" i="2" s="1"/>
  <c r="Z320" i="2" s="1"/>
  <c r="U353" i="2"/>
  <c r="V353" i="2" s="1"/>
  <c r="Z353" i="2" s="1"/>
  <c r="U362" i="2"/>
  <c r="V362" i="2" s="1"/>
  <c r="Z362" i="2" s="1"/>
  <c r="U365" i="2"/>
  <c r="Y365" i="2" s="1"/>
  <c r="U366" i="2"/>
  <c r="V366" i="2" s="1"/>
  <c r="Z366" i="2" s="1"/>
  <c r="U372" i="2"/>
  <c r="Y372" i="2" s="1"/>
  <c r="U389" i="2"/>
  <c r="Y389" i="2" s="1"/>
  <c r="U381" i="2"/>
  <c r="Y381" i="2" s="1"/>
  <c r="U99" i="2"/>
  <c r="U15" i="2"/>
  <c r="Y15" i="2" s="1"/>
  <c r="U11" i="2"/>
  <c r="U66" i="2"/>
  <c r="V66" i="2" s="1"/>
  <c r="Z66" i="2" s="1"/>
  <c r="U328" i="2"/>
  <c r="Y328" i="2" s="1"/>
  <c r="U162" i="2"/>
  <c r="Y162" i="2" s="1"/>
  <c r="U188" i="2"/>
  <c r="V188" i="2" s="1"/>
  <c r="Z188" i="2" s="1"/>
  <c r="U317" i="2"/>
  <c r="U403" i="2"/>
  <c r="V403" i="2" s="1"/>
  <c r="Z403" i="2" s="1"/>
  <c r="U55" i="2"/>
  <c r="Y55" i="2" s="1"/>
  <c r="U145" i="2"/>
  <c r="Y145" i="2" s="1"/>
  <c r="U394" i="2"/>
  <c r="V394" i="2" s="1"/>
  <c r="Z394" i="2" s="1"/>
  <c r="U29" i="2"/>
  <c r="V29" i="2" s="1"/>
  <c r="Z29" i="2" s="1"/>
  <c r="U33" i="2"/>
  <c r="Y33" i="2" s="1"/>
  <c r="U431" i="2"/>
  <c r="Y431" i="2" s="1"/>
  <c r="U261" i="2"/>
  <c r="V261" i="2" s="1"/>
  <c r="Z261" i="2" s="1"/>
  <c r="U308" i="2"/>
  <c r="V308" i="2" s="1"/>
  <c r="Z308" i="2" s="1"/>
  <c r="U57" i="2"/>
  <c r="Y57" i="2" s="1"/>
  <c r="U126" i="2"/>
  <c r="Y126" i="2" s="1"/>
  <c r="U200" i="2"/>
  <c r="Y200" i="2" s="1"/>
  <c r="U373" i="2"/>
  <c r="Y373" i="2" s="1"/>
  <c r="U417" i="2"/>
  <c r="Y417" i="2" s="1"/>
  <c r="U5" i="2"/>
  <c r="V5" i="2" s="1"/>
  <c r="Z5" i="2" s="1"/>
  <c r="U380" i="2"/>
  <c r="Y380" i="2" s="1"/>
  <c r="U110" i="2"/>
  <c r="V110" i="2" s="1"/>
  <c r="Z110" i="2" s="1"/>
  <c r="U153" i="2"/>
  <c r="Y153" i="2" s="1"/>
  <c r="U216" i="2"/>
  <c r="V216" i="2" s="1"/>
  <c r="Z216" i="2" s="1"/>
  <c r="U409" i="2"/>
  <c r="V409" i="2" s="1"/>
  <c r="Z409" i="2" s="1"/>
  <c r="U245" i="2"/>
  <c r="Y245" i="2" s="1"/>
  <c r="U248" i="2"/>
  <c r="V248" i="2" s="1"/>
  <c r="Z248" i="2" s="1"/>
  <c r="U277" i="2"/>
  <c r="V277" i="2" s="1"/>
  <c r="Z277" i="2" s="1"/>
  <c r="U344" i="2"/>
  <c r="Y344" i="2" s="1"/>
  <c r="U420" i="2"/>
  <c r="U379" i="2"/>
  <c r="V379" i="2" s="1"/>
  <c r="Z379" i="2" s="1"/>
  <c r="U96" i="2"/>
  <c r="V96" i="2" s="1"/>
  <c r="Z96" i="2" s="1"/>
  <c r="U411" i="2"/>
  <c r="Y411" i="2" s="1"/>
  <c r="U268" i="2"/>
  <c r="Y268" i="2" s="1"/>
  <c r="U351" i="2"/>
  <c r="Y351" i="2" s="1"/>
  <c r="U382" i="2"/>
  <c r="V382" i="2" s="1"/>
  <c r="Z382" i="2" s="1"/>
  <c r="U416" i="2"/>
  <c r="V416" i="2" s="1"/>
  <c r="Z416" i="2" s="1"/>
  <c r="U10" i="2"/>
  <c r="V10" i="2" s="1"/>
  <c r="Z10" i="2" s="1"/>
  <c r="U401" i="2"/>
  <c r="Y401" i="2" s="1"/>
  <c r="U13" i="2"/>
  <c r="Y13" i="2" s="1"/>
  <c r="U19" i="2"/>
  <c r="Y19" i="2" s="1"/>
  <c r="U23" i="2"/>
  <c r="Y23" i="2" s="1"/>
  <c r="U63" i="2"/>
  <c r="Y63" i="2" s="1"/>
  <c r="U408" i="2"/>
  <c r="Y408" i="2" s="1"/>
  <c r="U65" i="2"/>
  <c r="Y65" i="2" s="1"/>
  <c r="U74" i="2"/>
  <c r="U75" i="2"/>
  <c r="V75" i="2" s="1"/>
  <c r="Z75" i="2" s="1"/>
  <c r="U87" i="2"/>
  <c r="V87" i="2" s="1"/>
  <c r="Z87" i="2" s="1"/>
  <c r="U89" i="2"/>
  <c r="V89" i="2" s="1"/>
  <c r="Z89" i="2" s="1"/>
  <c r="U105" i="2"/>
  <c r="V105" i="2" s="1"/>
  <c r="Z105" i="2" s="1"/>
  <c r="U108" i="2"/>
  <c r="Y108" i="2" s="1"/>
  <c r="U170" i="2"/>
  <c r="Y170" i="2" s="1"/>
  <c r="U198" i="2"/>
  <c r="V198" i="2" s="1"/>
  <c r="Z198" i="2" s="1"/>
  <c r="U211" i="2"/>
  <c r="Y211" i="2" s="1"/>
  <c r="U214" i="2"/>
  <c r="V214" i="2" s="1"/>
  <c r="Z214" i="2" s="1"/>
  <c r="U240" i="2"/>
  <c r="V240" i="2" s="1"/>
  <c r="Z240" i="2" s="1"/>
  <c r="U247" i="2"/>
  <c r="V247" i="2" s="1"/>
  <c r="Z247" i="2" s="1"/>
  <c r="U249" i="2"/>
  <c r="Y249" i="2" s="1"/>
  <c r="U252" i="2"/>
  <c r="V252" i="2" s="1"/>
  <c r="Z252" i="2" s="1"/>
  <c r="U290" i="2"/>
  <c r="Y290" i="2" s="1"/>
  <c r="U310" i="2"/>
  <c r="Y310" i="2" s="1"/>
  <c r="U330" i="2"/>
  <c r="V330" i="2" s="1"/>
  <c r="Z330" i="2" s="1"/>
  <c r="U339" i="2"/>
  <c r="Y339" i="2" s="1"/>
  <c r="U369" i="2"/>
  <c r="Y369" i="2" s="1"/>
  <c r="U414" i="2"/>
  <c r="Y414" i="2" s="1"/>
  <c r="U404" i="2"/>
  <c r="Y404" i="2" s="1"/>
  <c r="U454" i="2"/>
  <c r="Y454" i="2" s="1"/>
  <c r="U256" i="2"/>
  <c r="Y256" i="2" s="1"/>
  <c r="U3" i="2"/>
  <c r="Y3" i="2" s="1"/>
  <c r="U12" i="2"/>
  <c r="U400" i="2"/>
  <c r="Y400" i="2" s="1"/>
  <c r="U402" i="2"/>
  <c r="V402" i="2" s="1"/>
  <c r="Z402" i="2" s="1"/>
  <c r="U17" i="2"/>
  <c r="V17" i="2" s="1"/>
  <c r="Z17" i="2" s="1"/>
  <c r="U18" i="2"/>
  <c r="Y18" i="2" s="1"/>
  <c r="U35" i="2"/>
  <c r="Y35" i="2" s="1"/>
  <c r="U50" i="2"/>
  <c r="Y50" i="2" s="1"/>
  <c r="U51" i="2"/>
  <c r="V51" i="2" s="1"/>
  <c r="Z51" i="2" s="1"/>
  <c r="U53" i="2"/>
  <c r="Y53" i="2" s="1"/>
  <c r="U54" i="2"/>
  <c r="V54" i="2" s="1"/>
  <c r="Z54" i="2" s="1"/>
  <c r="U62" i="2"/>
  <c r="U64" i="2"/>
  <c r="V64" i="2" s="1"/>
  <c r="Z64" i="2" s="1"/>
  <c r="U67" i="2"/>
  <c r="Y67" i="2" s="1"/>
  <c r="U68" i="2"/>
  <c r="U69" i="2"/>
  <c r="Y69" i="2" s="1"/>
  <c r="U70" i="2"/>
  <c r="V70" i="2" s="1"/>
  <c r="Z70" i="2" s="1"/>
  <c r="U71" i="2"/>
  <c r="V71" i="2" s="1"/>
  <c r="Z71" i="2" s="1"/>
  <c r="U72" i="2"/>
  <c r="Y72" i="2" s="1"/>
  <c r="U73" i="2"/>
  <c r="Y73" i="2" s="1"/>
  <c r="U77" i="2"/>
  <c r="V77" i="2" s="1"/>
  <c r="Z77" i="2" s="1"/>
  <c r="U81" i="2"/>
  <c r="Y81" i="2" s="1"/>
  <c r="U83" i="2"/>
  <c r="Y83" i="2" s="1"/>
  <c r="U95" i="2"/>
  <c r="Y95" i="2" s="1"/>
  <c r="U121" i="2"/>
  <c r="V121" i="2" s="1"/>
  <c r="Z121" i="2" s="1"/>
  <c r="U146" i="2"/>
  <c r="Y146" i="2" s="1"/>
  <c r="U148" i="2"/>
  <c r="Y148" i="2" s="1"/>
  <c r="U152" i="2"/>
  <c r="Y152" i="2" s="1"/>
  <c r="U156" i="2"/>
  <c r="V156" i="2" s="1"/>
  <c r="Z156" i="2" s="1"/>
  <c r="U392" i="2"/>
  <c r="Y392" i="2" s="1"/>
  <c r="U172" i="2"/>
  <c r="U406" i="2"/>
  <c r="V406" i="2" s="1"/>
  <c r="Z406" i="2" s="1"/>
  <c r="U190" i="2"/>
  <c r="U191" i="2"/>
  <c r="Y191" i="2" s="1"/>
  <c r="U194" i="2"/>
  <c r="Y194" i="2" s="1"/>
  <c r="U195" i="2"/>
  <c r="Y195" i="2" s="1"/>
  <c r="U197" i="2"/>
  <c r="Y197" i="2" s="1"/>
  <c r="U199" i="2"/>
  <c r="Y199" i="2" s="1"/>
  <c r="U208" i="2"/>
  <c r="V208" i="2" s="1"/>
  <c r="Z208" i="2" s="1"/>
  <c r="U220" i="2"/>
  <c r="V220" i="2" s="1"/>
  <c r="Z220" i="2" s="1"/>
  <c r="U236" i="2"/>
  <c r="Y236" i="2" s="1"/>
  <c r="U243" i="2"/>
  <c r="Y243" i="2" s="1"/>
  <c r="U255" i="2"/>
  <c r="V255" i="2" s="1"/>
  <c r="Z255" i="2" s="1"/>
  <c r="U264" i="2"/>
  <c r="U280" i="2"/>
  <c r="V280" i="2" s="1"/>
  <c r="Z280" i="2" s="1"/>
  <c r="U284" i="2"/>
  <c r="U286" i="2"/>
  <c r="Y286" i="2" s="1"/>
  <c r="U287" i="2"/>
  <c r="V287" i="2" s="1"/>
  <c r="Z287" i="2" s="1"/>
  <c r="U288" i="2"/>
  <c r="U291" i="2"/>
  <c r="V291" i="2" s="1"/>
  <c r="Z291" i="2" s="1"/>
  <c r="U295" i="2"/>
  <c r="Y295" i="2" s="1"/>
  <c r="U297" i="2"/>
  <c r="Y297" i="2" s="1"/>
  <c r="U302" i="2"/>
  <c r="Y302" i="2" s="1"/>
  <c r="U325" i="2"/>
  <c r="V325" i="2" s="1"/>
  <c r="Z325" i="2" s="1"/>
  <c r="U374" i="2"/>
  <c r="Y374" i="2" s="1"/>
  <c r="U375" i="2"/>
  <c r="V375" i="2" s="1"/>
  <c r="Z375" i="2" s="1"/>
  <c r="U418" i="2"/>
  <c r="Y418" i="2" s="1"/>
  <c r="U385" i="2"/>
  <c r="Y385" i="2" s="1"/>
  <c r="U419" i="2"/>
  <c r="V419" i="2" s="1"/>
  <c r="Z419" i="2" s="1"/>
  <c r="U390" i="2"/>
  <c r="Y390" i="2" s="1"/>
  <c r="U393" i="2"/>
  <c r="V393" i="2" s="1"/>
  <c r="Z393" i="2" s="1"/>
  <c r="U436" i="2"/>
  <c r="U442" i="2"/>
  <c r="Y442" i="2" s="1"/>
  <c r="U443" i="2"/>
  <c r="V443" i="2" s="1"/>
  <c r="Z443" i="2" s="1"/>
  <c r="U446" i="2"/>
  <c r="Y446" i="2" s="1"/>
  <c r="U448" i="2"/>
  <c r="V448" i="2" s="1"/>
  <c r="Z448" i="2" s="1"/>
  <c r="U451" i="2"/>
  <c r="V451" i="2" s="1"/>
  <c r="Z451" i="2" s="1"/>
  <c r="U452" i="2"/>
  <c r="Y452" i="2" s="1"/>
  <c r="U456" i="2"/>
  <c r="U4" i="2"/>
  <c r="Y4" i="2" s="1"/>
  <c r="U8" i="2"/>
  <c r="Y8" i="2" s="1"/>
  <c r="U9" i="2"/>
  <c r="V9" i="2" s="1"/>
  <c r="Z9" i="2" s="1"/>
  <c r="U398" i="2"/>
  <c r="V398" i="2" s="1"/>
  <c r="Z398" i="2" s="1"/>
  <c r="U14" i="2"/>
  <c r="Y14" i="2" s="1"/>
  <c r="U20" i="2"/>
  <c r="V20" i="2" s="1"/>
  <c r="Z20" i="2" s="1"/>
  <c r="U26" i="2"/>
  <c r="Y26" i="2" s="1"/>
  <c r="U27" i="2"/>
  <c r="Y27" i="2" s="1"/>
  <c r="U28" i="2"/>
  <c r="V28" i="2" s="1"/>
  <c r="Z28" i="2" s="1"/>
  <c r="U30" i="2"/>
  <c r="U31" i="2"/>
  <c r="V31" i="2" s="1"/>
  <c r="Z31" i="2" s="1"/>
  <c r="U37" i="2"/>
  <c r="Y37" i="2" s="1"/>
  <c r="U38" i="2"/>
  <c r="Y38" i="2" s="1"/>
  <c r="U40" i="2"/>
  <c r="U41" i="2"/>
  <c r="Y41" i="2" s="1"/>
  <c r="U42" i="2"/>
  <c r="V42" i="2" s="1"/>
  <c r="Z42" i="2" s="1"/>
  <c r="U43" i="2"/>
  <c r="V43" i="2" s="1"/>
  <c r="Z43" i="2" s="1"/>
  <c r="U44" i="2"/>
  <c r="Y44" i="2" s="1"/>
  <c r="U46" i="2"/>
  <c r="U47" i="2"/>
  <c r="V47" i="2" s="1"/>
  <c r="Z47" i="2" s="1"/>
  <c r="U48" i="2"/>
  <c r="V48" i="2" s="1"/>
  <c r="Z48" i="2" s="1"/>
  <c r="U52" i="2"/>
  <c r="Y52" i="2" s="1"/>
  <c r="U56" i="2"/>
  <c r="Y56" i="2" s="1"/>
  <c r="U58" i="2"/>
  <c r="U60" i="2"/>
  <c r="Y60" i="2" s="1"/>
  <c r="U79" i="2"/>
  <c r="V79" i="2" s="1"/>
  <c r="Z79" i="2" s="1"/>
  <c r="U80" i="2"/>
  <c r="Y80" i="2" s="1"/>
  <c r="U85" i="2"/>
  <c r="U90" i="2"/>
  <c r="V90" i="2" s="1"/>
  <c r="Z90" i="2" s="1"/>
  <c r="U91" i="2"/>
  <c r="V91" i="2" s="1"/>
  <c r="Z91" i="2" s="1"/>
  <c r="U209" i="2"/>
  <c r="Y209" i="2" s="1"/>
  <c r="U92" i="2"/>
  <c r="Y92" i="2" s="1"/>
  <c r="U93" i="2"/>
  <c r="Y93" i="2" s="1"/>
  <c r="U98" i="2"/>
  <c r="V98" i="2" s="1"/>
  <c r="Z98" i="2" s="1"/>
  <c r="U100" i="2"/>
  <c r="V100" i="2" s="1"/>
  <c r="Z100" i="2" s="1"/>
  <c r="U102" i="2"/>
  <c r="V102" i="2" s="1"/>
  <c r="Z102" i="2" s="1"/>
  <c r="U104" i="2"/>
  <c r="Y104" i="2" s="1"/>
  <c r="U111" i="2"/>
  <c r="Y111" i="2" s="1"/>
  <c r="U119" i="2"/>
  <c r="V119" i="2" s="1"/>
  <c r="Z119" i="2" s="1"/>
  <c r="U129" i="2"/>
  <c r="U130" i="2"/>
  <c r="Y130" i="2" s="1"/>
  <c r="U131" i="2"/>
  <c r="V131" i="2" s="1"/>
  <c r="Z131" i="2" s="1"/>
  <c r="U132" i="2"/>
  <c r="V132" i="2" s="1"/>
  <c r="Z132" i="2" s="1"/>
  <c r="U137" i="2"/>
  <c r="Y137" i="2" s="1"/>
  <c r="U138" i="2"/>
  <c r="V138" i="2" s="1"/>
  <c r="Z138" i="2" s="1"/>
  <c r="U140" i="2"/>
  <c r="Y140" i="2" s="1"/>
  <c r="U147" i="2"/>
  <c r="V147" i="2" s="1"/>
  <c r="Z147" i="2" s="1"/>
  <c r="U149" i="2"/>
  <c r="V149" i="2" s="1"/>
  <c r="Z149" i="2" s="1"/>
  <c r="U159" i="2"/>
  <c r="Y159" i="2" s="1"/>
  <c r="U391" i="2"/>
  <c r="U164" i="2"/>
  <c r="Y164" i="2" s="1"/>
  <c r="U167" i="2"/>
  <c r="Y167" i="2" s="1"/>
  <c r="U175" i="2"/>
  <c r="Y175" i="2" s="1"/>
  <c r="U176" i="2"/>
  <c r="V176" i="2" s="1"/>
  <c r="Z176" i="2" s="1"/>
  <c r="U180" i="2"/>
  <c r="Y180" i="2" s="1"/>
  <c r="U186" i="2"/>
  <c r="Y186" i="2" s="1"/>
  <c r="U189" i="2"/>
  <c r="V189" i="2" s="1"/>
  <c r="Z189" i="2" s="1"/>
  <c r="U405" i="2"/>
  <c r="Y405" i="2" s="1"/>
  <c r="U193" i="2"/>
  <c r="V193" i="2" s="1"/>
  <c r="Z193" i="2" s="1"/>
  <c r="U201" i="2"/>
  <c r="U202" i="2"/>
  <c r="Y202" i="2" s="1"/>
  <c r="U207" i="2"/>
  <c r="V207" i="2" s="1"/>
  <c r="Z207" i="2" s="1"/>
  <c r="U210" i="2"/>
  <c r="V210" i="2" s="1"/>
  <c r="Z210" i="2" s="1"/>
  <c r="U215" i="2"/>
  <c r="V215" i="2" s="1"/>
  <c r="Z215" i="2" s="1"/>
  <c r="U228" i="2"/>
  <c r="V228" i="2" s="1"/>
  <c r="Z228" i="2" s="1"/>
  <c r="U238" i="2"/>
  <c r="Y238" i="2" s="1"/>
  <c r="U239" i="2"/>
  <c r="Y239" i="2" s="1"/>
  <c r="U244" i="2"/>
  <c r="Y244" i="2" s="1"/>
  <c r="U246" i="2"/>
  <c r="Y246" i="2" s="1"/>
  <c r="U250" i="2"/>
  <c r="Y250" i="2" s="1"/>
  <c r="U260" i="2"/>
  <c r="U263" i="2"/>
  <c r="U265" i="2"/>
  <c r="Y265" i="2" s="1"/>
  <c r="U270" i="2"/>
  <c r="Y270" i="2" s="1"/>
  <c r="U273" i="2"/>
  <c r="Y273" i="2" s="1"/>
  <c r="U274" i="2"/>
  <c r="Y274" i="2" s="1"/>
  <c r="U276" i="2"/>
  <c r="V276" i="2" s="1"/>
  <c r="Z276" i="2" s="1"/>
  <c r="U281" i="2"/>
  <c r="U283" i="2"/>
  <c r="Y283" i="2" s="1"/>
  <c r="U299" i="2"/>
  <c r="U300" i="2"/>
  <c r="Y300" i="2" s="1"/>
  <c r="U301" i="2"/>
  <c r="V301" i="2" s="1"/>
  <c r="Z301" i="2" s="1"/>
  <c r="U311" i="2"/>
  <c r="V311" i="2" s="1"/>
  <c r="Z311" i="2" s="1"/>
  <c r="U321" i="2"/>
  <c r="V321" i="2" s="1"/>
  <c r="Z321" i="2" s="1"/>
  <c r="U324" i="2"/>
  <c r="U329" i="2"/>
  <c r="Y329" i="2" s="1"/>
  <c r="U331" i="2"/>
  <c r="Y331" i="2" s="1"/>
  <c r="U332" i="2"/>
  <c r="Y332" i="2" s="1"/>
  <c r="U336" i="2"/>
  <c r="V336" i="2" s="1"/>
  <c r="Z336" i="2" s="1"/>
  <c r="U337" i="2"/>
  <c r="Y337" i="2" s="1"/>
  <c r="U338" i="2"/>
  <c r="Y338" i="2" s="1"/>
  <c r="U345" i="2"/>
  <c r="Y345" i="2" s="1"/>
  <c r="U348" i="2"/>
  <c r="Y348" i="2" s="1"/>
  <c r="U354" i="2"/>
  <c r="V354" i="2" s="1"/>
  <c r="Z354" i="2" s="1"/>
  <c r="U358" i="2"/>
  <c r="Y358" i="2" s="1"/>
  <c r="U359" i="2"/>
  <c r="U361" i="2"/>
  <c r="U377" i="2"/>
  <c r="Y377" i="2" s="1"/>
  <c r="U425" i="2"/>
  <c r="Y425" i="2" s="1"/>
  <c r="U399" i="2"/>
  <c r="V399" i="2" s="1"/>
  <c r="Z399" i="2" s="1"/>
  <c r="U384" i="2"/>
  <c r="Y384" i="2" s="1"/>
  <c r="U422" i="2"/>
  <c r="Y422" i="2" s="1"/>
  <c r="U423" i="2"/>
  <c r="Y423" i="2" s="1"/>
  <c r="U424" i="2"/>
  <c r="Y424" i="2" s="1"/>
  <c r="U426" i="2"/>
  <c r="V426" i="2" s="1"/>
  <c r="Z426" i="2" s="1"/>
  <c r="U428" i="2"/>
  <c r="Y428" i="2" s="1"/>
  <c r="U433" i="2"/>
  <c r="V433" i="2" s="1"/>
  <c r="Z433" i="2" s="1"/>
  <c r="U435" i="2"/>
  <c r="Y435" i="2" s="1"/>
  <c r="U439" i="2"/>
  <c r="U441" i="2"/>
  <c r="V441" i="2" s="1"/>
  <c r="Z441" i="2" s="1"/>
  <c r="U447" i="2"/>
  <c r="U453" i="2"/>
  <c r="Y453" i="2" s="1"/>
  <c r="U457" i="2"/>
  <c r="U258" i="2"/>
  <c r="V258" i="2" s="1"/>
  <c r="Z258" i="2" s="1"/>
  <c r="U434" i="2"/>
  <c r="Y434" i="2" s="1"/>
  <c r="U24" i="2"/>
  <c r="Y24" i="2" s="1"/>
  <c r="U25" i="2"/>
  <c r="V25" i="2" s="1"/>
  <c r="Z25" i="2" s="1"/>
  <c r="U39" i="2"/>
  <c r="Y39" i="2" s="1"/>
  <c r="U82" i="2"/>
  <c r="V82" i="2" s="1"/>
  <c r="Z82" i="2" s="1"/>
  <c r="U88" i="2"/>
  <c r="Y88" i="2" s="1"/>
  <c r="U94" i="2"/>
  <c r="V94" i="2" s="1"/>
  <c r="Z94" i="2" s="1"/>
  <c r="U101" i="2"/>
  <c r="Y101" i="2" s="1"/>
  <c r="U103" i="2"/>
  <c r="V103" i="2" s="1"/>
  <c r="Z103" i="2" s="1"/>
  <c r="U106" i="2"/>
  <c r="Y106" i="2" s="1"/>
  <c r="U112" i="2"/>
  <c r="Y112" i="2" s="1"/>
  <c r="U114" i="2"/>
  <c r="U115" i="2"/>
  <c r="Y115" i="2" s="1"/>
  <c r="U118" i="2"/>
  <c r="V118" i="2" s="1"/>
  <c r="Z118" i="2" s="1"/>
  <c r="U124" i="2"/>
  <c r="Y124" i="2" s="1"/>
  <c r="U125" i="2"/>
  <c r="V125" i="2" s="1"/>
  <c r="Z125" i="2" s="1"/>
  <c r="U133" i="2"/>
  <c r="Y133" i="2" s="1"/>
  <c r="U134" i="2"/>
  <c r="V134" i="2" s="1"/>
  <c r="Z134" i="2" s="1"/>
  <c r="U139" i="2"/>
  <c r="V139" i="2" s="1"/>
  <c r="Z139" i="2" s="1"/>
  <c r="U142" i="2"/>
  <c r="U143" i="2"/>
  <c r="V143" i="2" s="1"/>
  <c r="Z143" i="2" s="1"/>
  <c r="U144" i="2"/>
  <c r="Y144" i="2" s="1"/>
  <c r="U150" i="2"/>
  <c r="U154" i="2"/>
  <c r="Y154" i="2" s="1"/>
  <c r="U161" i="2"/>
  <c r="V161" i="2" s="1"/>
  <c r="Z161" i="2" s="1"/>
  <c r="U168" i="2"/>
  <c r="V168" i="2" s="1"/>
  <c r="Z168" i="2" s="1"/>
  <c r="U169" i="2"/>
  <c r="Y169" i="2" s="1"/>
  <c r="U173" i="2"/>
  <c r="V173" i="2" s="1"/>
  <c r="Z173" i="2" s="1"/>
  <c r="U174" i="2"/>
  <c r="Y174" i="2" s="1"/>
  <c r="U179" i="2"/>
  <c r="Y179" i="2" s="1"/>
  <c r="U183" i="2"/>
  <c r="V183" i="2" s="1"/>
  <c r="Z183" i="2" s="1"/>
  <c r="U185" i="2"/>
  <c r="Y185" i="2" s="1"/>
  <c r="U187" i="2"/>
  <c r="V187" i="2" s="1"/>
  <c r="Z187" i="2" s="1"/>
  <c r="U212" i="2"/>
  <c r="V212" i="2" s="1"/>
  <c r="Z212" i="2" s="1"/>
  <c r="U222" i="2"/>
  <c r="Y222" i="2" s="1"/>
  <c r="U223" i="2"/>
  <c r="U225" i="2"/>
  <c r="Y225" i="2" s="1"/>
  <c r="U226" i="2"/>
  <c r="V226" i="2" s="1"/>
  <c r="Z226" i="2" s="1"/>
  <c r="U231" i="2"/>
  <c r="V231" i="2" s="1"/>
  <c r="Z231" i="2" s="1"/>
  <c r="U233" i="2"/>
  <c r="U241" i="2"/>
  <c r="V241" i="2" s="1"/>
  <c r="Z241" i="2" s="1"/>
  <c r="U262" i="2"/>
  <c r="Y262" i="2" s="1"/>
  <c r="U267" i="2"/>
  <c r="V267" i="2" s="1"/>
  <c r="Z267" i="2" s="1"/>
  <c r="U282" i="2"/>
  <c r="U285" i="2"/>
  <c r="V285" i="2" s="1"/>
  <c r="Z285" i="2" s="1"/>
  <c r="U292" i="2"/>
  <c r="V292" i="2" s="1"/>
  <c r="Z292" i="2" s="1"/>
  <c r="U293" i="2"/>
  <c r="V293" i="2" s="1"/>
  <c r="Z293" i="2" s="1"/>
  <c r="U305" i="2"/>
  <c r="V305" i="2" s="1"/>
  <c r="Z305" i="2" s="1"/>
  <c r="U307" i="2"/>
  <c r="V307" i="2" s="1"/>
  <c r="Z307" i="2" s="1"/>
  <c r="U316" i="2"/>
  <c r="Y316" i="2" s="1"/>
  <c r="U322" i="2"/>
  <c r="V322" i="2" s="1"/>
  <c r="Z322" i="2" s="1"/>
  <c r="U323" i="2"/>
  <c r="Y323" i="2" s="1"/>
  <c r="U334" i="2"/>
  <c r="U343" i="2"/>
  <c r="V343" i="2" s="1"/>
  <c r="Z343" i="2" s="1"/>
  <c r="U357" i="2"/>
  <c r="V357" i="2" s="1"/>
  <c r="Z357" i="2" s="1"/>
  <c r="U363" i="2"/>
  <c r="V363" i="2" s="1"/>
  <c r="Z363" i="2" s="1"/>
  <c r="U367" i="2"/>
  <c r="V367" i="2" s="1"/>
  <c r="Z367" i="2" s="1"/>
  <c r="U371" i="2"/>
  <c r="U427" i="2"/>
  <c r="V427" i="2" s="1"/>
  <c r="Z427" i="2" s="1"/>
  <c r="U432" i="2"/>
  <c r="V432" i="2" s="1"/>
  <c r="Z432" i="2" s="1"/>
  <c r="Y114" i="2" l="1"/>
  <c r="M1" i="2"/>
  <c r="V268" i="2"/>
  <c r="Z268" i="2" s="1"/>
  <c r="V392" i="2"/>
  <c r="Z392" i="2" s="1"/>
  <c r="V373" i="2"/>
  <c r="Z373" i="2" s="1"/>
  <c r="Y219" i="2"/>
  <c r="Y254" i="2"/>
  <c r="V37" i="2"/>
  <c r="Z37" i="2" s="1"/>
  <c r="V166" i="2"/>
  <c r="Z166" i="2" s="1"/>
  <c r="V27" i="2"/>
  <c r="Z27" i="2" s="1"/>
  <c r="V67" i="2"/>
  <c r="Z67" i="2" s="1"/>
  <c r="V50" i="2"/>
  <c r="Z50" i="2" s="1"/>
  <c r="V61" i="2"/>
  <c r="Z61" i="2" s="1"/>
  <c r="V171" i="2"/>
  <c r="Z171" i="2" s="1"/>
  <c r="Y220" i="2"/>
  <c r="V328" i="2"/>
  <c r="Z328" i="2" s="1"/>
  <c r="Y346" i="2"/>
  <c r="V211" i="2"/>
  <c r="Z211" i="2" s="1"/>
  <c r="Y125" i="2"/>
  <c r="Y21" i="2"/>
  <c r="V408" i="2"/>
  <c r="Z408" i="2" s="1"/>
  <c r="V259" i="2"/>
  <c r="Z259" i="2" s="1"/>
  <c r="V154" i="2"/>
  <c r="Z154" i="2" s="1"/>
  <c r="V417" i="2"/>
  <c r="Z417" i="2" s="1"/>
  <c r="Y287" i="2"/>
  <c r="Y204" i="2"/>
  <c r="V83" i="2"/>
  <c r="Z83" i="2" s="1"/>
  <c r="V184" i="2"/>
  <c r="Z184" i="2" s="1"/>
  <c r="V101" i="2"/>
  <c r="Z101" i="2" s="1"/>
  <c r="V113" i="2"/>
  <c r="Z113" i="2" s="1"/>
  <c r="Y51" i="2"/>
  <c r="V297" i="2"/>
  <c r="Z297" i="2" s="1"/>
  <c r="V304" i="2"/>
  <c r="Z304" i="2" s="1"/>
  <c r="V450" i="2"/>
  <c r="Z450" i="2" s="1"/>
  <c r="V144" i="2"/>
  <c r="Z144" i="2" s="1"/>
  <c r="Y123" i="2"/>
  <c r="V265" i="2"/>
  <c r="Z265" i="2" s="1"/>
  <c r="V153" i="2"/>
  <c r="Z153" i="2" s="1"/>
  <c r="Y445" i="2"/>
  <c r="Y378" i="2"/>
  <c r="V243" i="2"/>
  <c r="Z243" i="2" s="1"/>
  <c r="V425" i="2"/>
  <c r="Z425" i="2" s="1"/>
  <c r="Y350" i="2"/>
  <c r="V59" i="2"/>
  <c r="Z59" i="2" s="1"/>
  <c r="V136" i="2"/>
  <c r="Z136" i="2" s="1"/>
  <c r="V186" i="2"/>
  <c r="Z186" i="2" s="1"/>
  <c r="V335" i="2"/>
  <c r="Z335" i="2" s="1"/>
  <c r="Y9" i="2"/>
  <c r="Y107" i="2"/>
  <c r="V35" i="2"/>
  <c r="Z35" i="2" s="1"/>
  <c r="V130" i="2"/>
  <c r="Z130" i="2" s="1"/>
  <c r="V108" i="2"/>
  <c r="Z108" i="2" s="1"/>
  <c r="V333" i="2"/>
  <c r="Z333" i="2" s="1"/>
  <c r="Y230" i="2"/>
  <c r="Y448" i="2"/>
  <c r="V15" i="2"/>
  <c r="Z15" i="2" s="1"/>
  <c r="V387" i="2"/>
  <c r="Z387" i="2" s="1"/>
  <c r="V60" i="2"/>
  <c r="Z60" i="2" s="1"/>
  <c r="V44" i="2"/>
  <c r="Z44" i="2" s="1"/>
  <c r="V159" i="2"/>
  <c r="Z159" i="2" s="1"/>
  <c r="Y298" i="2"/>
  <c r="Y440" i="2"/>
  <c r="V55" i="2"/>
  <c r="Z55" i="2" s="1"/>
  <c r="V300" i="2"/>
  <c r="Z300" i="2" s="1"/>
  <c r="V185" i="2"/>
  <c r="Z185" i="2" s="1"/>
  <c r="V431" i="2"/>
  <c r="Z431" i="2" s="1"/>
  <c r="V177" i="2"/>
  <c r="Z177" i="2" s="1"/>
  <c r="Y138" i="2"/>
  <c r="Y90" i="2"/>
  <c r="V344" i="2"/>
  <c r="Z344" i="2" s="1"/>
  <c r="V181" i="2"/>
  <c r="Z181" i="2" s="1"/>
  <c r="V65" i="2"/>
  <c r="Z65" i="2" s="1"/>
  <c r="Y203" i="2"/>
  <c r="V163" i="2"/>
  <c r="Z163" i="2" s="1"/>
  <c r="Y313" i="2"/>
  <c r="Y43" i="2"/>
  <c r="V404" i="2"/>
  <c r="Z404" i="2" s="1"/>
  <c r="V444" i="2"/>
  <c r="Z444" i="2" s="1"/>
  <c r="V88" i="2"/>
  <c r="Z88" i="2" s="1"/>
  <c r="V381" i="2"/>
  <c r="Z381" i="2" s="1"/>
  <c r="V374" i="2"/>
  <c r="Z374" i="2" s="1"/>
  <c r="Y269" i="2"/>
  <c r="Y97" i="2"/>
  <c r="V234" i="2"/>
  <c r="Z234" i="2" s="1"/>
  <c r="V434" i="2"/>
  <c r="Z434" i="2" s="1"/>
  <c r="Y248" i="2"/>
  <c r="V194" i="2"/>
  <c r="Z194" i="2" s="1"/>
  <c r="Y396" i="2"/>
  <c r="Y116" i="2"/>
  <c r="V72" i="2"/>
  <c r="Z72" i="2" s="1"/>
  <c r="V295" i="2"/>
  <c r="Z295" i="2" s="1"/>
  <c r="V315" i="2"/>
  <c r="Z315" i="2" s="1"/>
  <c r="Y214" i="2"/>
  <c r="Y100" i="2"/>
  <c r="V158" i="2"/>
  <c r="Z158" i="2" s="1"/>
  <c r="V286" i="2"/>
  <c r="Z286" i="2" s="1"/>
  <c r="V294" i="2"/>
  <c r="Z294" i="2" s="1"/>
  <c r="V202" i="2"/>
  <c r="Z202" i="2" s="1"/>
  <c r="Y54" i="2"/>
  <c r="Y227" i="2"/>
  <c r="V299" i="2"/>
  <c r="Z299" i="2" s="1"/>
  <c r="Y299" i="2"/>
  <c r="Y201" i="2"/>
  <c r="V201" i="2"/>
  <c r="Z201" i="2" s="1"/>
  <c r="V85" i="2"/>
  <c r="Z85" i="2" s="1"/>
  <c r="Y85" i="2"/>
  <c r="V12" i="2"/>
  <c r="Z12" i="2" s="1"/>
  <c r="Y12" i="2"/>
  <c r="V57" i="2"/>
  <c r="Z57" i="2" s="1"/>
  <c r="V249" i="2"/>
  <c r="Z249" i="2" s="1"/>
  <c r="V191" i="2"/>
  <c r="Z191" i="2" s="1"/>
  <c r="V422" i="2"/>
  <c r="Z422" i="2" s="1"/>
  <c r="V415" i="2"/>
  <c r="Z415" i="2" s="1"/>
  <c r="V376" i="2"/>
  <c r="Z376" i="2" s="1"/>
  <c r="V180" i="2"/>
  <c r="Z180" i="2" s="1"/>
  <c r="V356" i="2"/>
  <c r="Z356" i="2" s="1"/>
  <c r="V133" i="2"/>
  <c r="Z133" i="2" s="1"/>
  <c r="V435" i="2"/>
  <c r="Z435" i="2" s="1"/>
  <c r="V239" i="2"/>
  <c r="Z239" i="2" s="1"/>
  <c r="Y64" i="2"/>
  <c r="Y149" i="2"/>
  <c r="Y79" i="2"/>
  <c r="Y42" i="2"/>
  <c r="Y305" i="2"/>
  <c r="Y103" i="2"/>
  <c r="Y182" i="2"/>
  <c r="Y122" i="2"/>
  <c r="Y325" i="2"/>
  <c r="Y102" i="2"/>
  <c r="Y71" i="2"/>
  <c r="Y397" i="2"/>
  <c r="Y121" i="2"/>
  <c r="V288" i="2"/>
  <c r="Z288" i="2" s="1"/>
  <c r="Y288" i="2"/>
  <c r="V190" i="2"/>
  <c r="Z190" i="2" s="1"/>
  <c r="Y190" i="2"/>
  <c r="V317" i="2"/>
  <c r="Z317" i="2" s="1"/>
  <c r="Y317" i="2"/>
  <c r="Y412" i="2"/>
  <c r="V412" i="2"/>
  <c r="Z412" i="2" s="1"/>
  <c r="V283" i="2"/>
  <c r="Z283" i="2" s="1"/>
  <c r="V384" i="2"/>
  <c r="Z384" i="2" s="1"/>
  <c r="V377" i="2"/>
  <c r="Z377" i="2" s="1"/>
  <c r="V358" i="2"/>
  <c r="Z358" i="2" s="1"/>
  <c r="V323" i="2"/>
  <c r="Z323" i="2" s="1"/>
  <c r="V386" i="2"/>
  <c r="Z386" i="2" s="1"/>
  <c r="V114" i="2"/>
  <c r="V152" i="2"/>
  <c r="Z152" i="2" s="1"/>
  <c r="Y198" i="2"/>
  <c r="Y78" i="2"/>
  <c r="Y147" i="2"/>
  <c r="Y258" i="2"/>
  <c r="Y292" i="2"/>
  <c r="Y160" i="2"/>
  <c r="Y20" i="2"/>
  <c r="Y321" i="2"/>
  <c r="Y110" i="2"/>
  <c r="Y379" i="2"/>
  <c r="Y261" i="2"/>
  <c r="Y32" i="2"/>
  <c r="V30" i="2"/>
  <c r="Z30" i="2" s="1"/>
  <c r="Y30" i="2"/>
  <c r="V165" i="2"/>
  <c r="Z165" i="2" s="1"/>
  <c r="V401" i="2"/>
  <c r="Z401" i="2" s="1"/>
  <c r="V148" i="2"/>
  <c r="Z148" i="2" s="1"/>
  <c r="V275" i="2"/>
  <c r="Z275" i="2" s="1"/>
  <c r="V332" i="2"/>
  <c r="Z332" i="2" s="1"/>
  <c r="V345" i="2"/>
  <c r="Z345" i="2" s="1"/>
  <c r="V355" i="2"/>
  <c r="Z355" i="2" s="1"/>
  <c r="V316" i="2"/>
  <c r="Z316" i="2" s="1"/>
  <c r="V124" i="2"/>
  <c r="Z124" i="2" s="1"/>
  <c r="V449" i="2"/>
  <c r="Z449" i="2" s="1"/>
  <c r="V179" i="2"/>
  <c r="Z179" i="2" s="1"/>
  <c r="V250" i="2"/>
  <c r="Z250" i="2" s="1"/>
  <c r="V411" i="2"/>
  <c r="Z411" i="2" s="1"/>
  <c r="V146" i="2"/>
  <c r="Z146" i="2" s="1"/>
  <c r="V175" i="2"/>
  <c r="Z175" i="2" s="1"/>
  <c r="V372" i="2"/>
  <c r="Z372" i="2" s="1"/>
  <c r="V170" i="2"/>
  <c r="Z170" i="2" s="1"/>
  <c r="Y105" i="2"/>
  <c r="Y10" i="2"/>
  <c r="Y91" i="2"/>
  <c r="Y433" i="2"/>
  <c r="Y267" i="2"/>
  <c r="Y22" i="2"/>
  <c r="Y155" i="2"/>
  <c r="Y25" i="2"/>
  <c r="Y340" i="2"/>
  <c r="Y215" i="2"/>
  <c r="Y277" i="2"/>
  <c r="Y228" i="2"/>
  <c r="Y409" i="2"/>
  <c r="Y233" i="2"/>
  <c r="V233" i="2"/>
  <c r="Z233" i="2" s="1"/>
  <c r="V150" i="2"/>
  <c r="Z150" i="2" s="1"/>
  <c r="Y150" i="2"/>
  <c r="V436" i="2"/>
  <c r="Z436" i="2" s="1"/>
  <c r="Y436" i="2"/>
  <c r="Y172" i="2"/>
  <c r="V172" i="2"/>
  <c r="Z172" i="2" s="1"/>
  <c r="V68" i="2"/>
  <c r="Z68" i="2" s="1"/>
  <c r="Y68" i="2"/>
  <c r="V380" i="2"/>
  <c r="Z380" i="2" s="1"/>
  <c r="V18" i="2"/>
  <c r="Z18" i="2" s="1"/>
  <c r="V73" i="2"/>
  <c r="Z73" i="2" s="1"/>
  <c r="V273" i="2"/>
  <c r="Z273" i="2" s="1"/>
  <c r="V270" i="2"/>
  <c r="Z270" i="2" s="1"/>
  <c r="V331" i="2"/>
  <c r="Z331" i="2" s="1"/>
  <c r="V347" i="2"/>
  <c r="Z347" i="2" s="1"/>
  <c r="V120" i="2"/>
  <c r="Z120" i="2" s="1"/>
  <c r="V237" i="2"/>
  <c r="Z237" i="2" s="1"/>
  <c r="V39" i="2"/>
  <c r="Z39" i="2" s="1"/>
  <c r="V446" i="2"/>
  <c r="Z446" i="2" s="1"/>
  <c r="V151" i="2"/>
  <c r="Z151" i="2" s="1"/>
  <c r="V13" i="2"/>
  <c r="Z13" i="2" s="1"/>
  <c r="V95" i="2"/>
  <c r="Z95" i="2" s="1"/>
  <c r="V385" i="2"/>
  <c r="Z385" i="2" s="1"/>
  <c r="V169" i="2"/>
  <c r="Z169" i="2" s="1"/>
  <c r="V14" i="2"/>
  <c r="Z14" i="2" s="1"/>
  <c r="Y87" i="2"/>
  <c r="Y208" i="2"/>
  <c r="Y34" i="2"/>
  <c r="Y131" i="2"/>
  <c r="Y241" i="2"/>
  <c r="Y210" i="2"/>
  <c r="Y438" i="2"/>
  <c r="Y168" i="2"/>
  <c r="Y216" i="2"/>
  <c r="Y366" i="2"/>
  <c r="Y368" i="2"/>
  <c r="Y29" i="2"/>
  <c r="V456" i="2"/>
  <c r="Z456" i="2" s="1"/>
  <c r="Y456" i="2"/>
  <c r="V334" i="2"/>
  <c r="Z334" i="2" s="1"/>
  <c r="Y334" i="2"/>
  <c r="V263" i="2"/>
  <c r="Z263" i="2" s="1"/>
  <c r="Y263" i="2"/>
  <c r="Y129" i="2"/>
  <c r="V129" i="2"/>
  <c r="Z129" i="2" s="1"/>
  <c r="V58" i="2"/>
  <c r="Z58" i="2" s="1"/>
  <c r="Y58" i="2"/>
  <c r="Y284" i="2"/>
  <c r="V284" i="2"/>
  <c r="Z284" i="2" s="1"/>
  <c r="V126" i="2"/>
  <c r="Z126" i="2" s="1"/>
  <c r="V290" i="2"/>
  <c r="Z290" i="2" s="1"/>
  <c r="V266" i="2"/>
  <c r="Z266" i="2" s="1"/>
  <c r="V238" i="2"/>
  <c r="Z238" i="2" s="1"/>
  <c r="V272" i="2"/>
  <c r="Z272" i="2" s="1"/>
  <c r="V115" i="2"/>
  <c r="Z115" i="2" s="1"/>
  <c r="V423" i="2"/>
  <c r="Z423" i="2" s="1"/>
  <c r="V453" i="2"/>
  <c r="Z453" i="2" s="1"/>
  <c r="V400" i="2"/>
  <c r="Z400" i="2" s="1"/>
  <c r="V365" i="2"/>
  <c r="Z365" i="2" s="1"/>
  <c r="V33" i="2"/>
  <c r="Z33" i="2" s="1"/>
  <c r="V164" i="2"/>
  <c r="Z164" i="2" s="1"/>
  <c r="Y406" i="2"/>
  <c r="Y402" i="2"/>
  <c r="Y398" i="2"/>
  <c r="Y135" i="2"/>
  <c r="Y119" i="2"/>
  <c r="Y232" i="2"/>
  <c r="Y48" i="2"/>
  <c r="Y134" i="2"/>
  <c r="Y326" i="2"/>
  <c r="Y375" i="2"/>
  <c r="Y367" i="2"/>
  <c r="Y308" i="2"/>
  <c r="Y173" i="2"/>
  <c r="Y382" i="2"/>
  <c r="Y188" i="2"/>
  <c r="V260" i="2"/>
  <c r="Z260" i="2" s="1"/>
  <c r="Y260" i="2"/>
  <c r="V195" i="2"/>
  <c r="Z195" i="2" s="1"/>
  <c r="V338" i="2"/>
  <c r="Z338" i="2" s="1"/>
  <c r="V222" i="2"/>
  <c r="Z222" i="2" s="1"/>
  <c r="V140" i="2"/>
  <c r="Z140" i="2" s="1"/>
  <c r="V24" i="2"/>
  <c r="Z24" i="2" s="1"/>
  <c r="V414" i="2"/>
  <c r="Z414" i="2" s="1"/>
  <c r="V200" i="2"/>
  <c r="Z200" i="2" s="1"/>
  <c r="V141" i="2"/>
  <c r="Z141" i="2" s="1"/>
  <c r="Y394" i="2"/>
  <c r="Y77" i="2"/>
  <c r="Y455" i="2"/>
  <c r="Y47" i="2"/>
  <c r="Y118" i="2"/>
  <c r="Y357" i="2"/>
  <c r="Y388" i="2"/>
  <c r="Y96" i="2"/>
  <c r="Y306" i="2"/>
  <c r="V306" i="2"/>
  <c r="Z306" i="2" s="1"/>
  <c r="V223" i="2"/>
  <c r="Z223" i="2" s="1"/>
  <c r="Y223" i="2"/>
  <c r="Y142" i="2"/>
  <c r="V142" i="2"/>
  <c r="Z142" i="2" s="1"/>
  <c r="Y264" i="2"/>
  <c r="V264" i="2"/>
  <c r="Z264" i="2" s="1"/>
  <c r="Y62" i="2"/>
  <c r="V62" i="2"/>
  <c r="Z62" i="2" s="1"/>
  <c r="V11" i="2"/>
  <c r="Z11" i="2" s="1"/>
  <c r="Y11" i="2"/>
  <c r="Y224" i="2"/>
  <c r="V224" i="2"/>
  <c r="Z224" i="2" s="1"/>
  <c r="V410" i="2"/>
  <c r="Z410" i="2" s="1"/>
  <c r="Y410" i="2"/>
  <c r="V23" i="2"/>
  <c r="Z23" i="2" s="1"/>
  <c r="V206" i="2"/>
  <c r="Z206" i="2" s="1"/>
  <c r="V178" i="2"/>
  <c r="Z178" i="2" s="1"/>
  <c r="V244" i="2"/>
  <c r="Z244" i="2" s="1"/>
  <c r="V329" i="2"/>
  <c r="Z329" i="2" s="1"/>
  <c r="V104" i="2"/>
  <c r="Z104" i="2" s="1"/>
  <c r="V225" i="2"/>
  <c r="Z225" i="2" s="1"/>
  <c r="Y403" i="2"/>
  <c r="Y430" i="2"/>
  <c r="Y354" i="2"/>
  <c r="Y98" i="2"/>
  <c r="Y139" i="2"/>
  <c r="Y212" i="2"/>
  <c r="Y432" i="2"/>
  <c r="Y324" i="2"/>
  <c r="V324" i="2"/>
  <c r="Z324" i="2" s="1"/>
  <c r="Y221" i="2"/>
  <c r="V221" i="2"/>
  <c r="Z221" i="2" s="1"/>
  <c r="Y251" i="2"/>
  <c r="V251" i="2"/>
  <c r="Z251" i="2" s="1"/>
  <c r="V351" i="2"/>
  <c r="Z351" i="2" s="1"/>
  <c r="V342" i="2"/>
  <c r="Z342" i="2" s="1"/>
  <c r="V53" i="2"/>
  <c r="Z53" i="2" s="1"/>
  <c r="V137" i="2"/>
  <c r="Z137" i="2" s="1"/>
  <c r="V405" i="2"/>
  <c r="Z405" i="2" s="1"/>
  <c r="V262" i="2"/>
  <c r="Z262" i="2" s="1"/>
  <c r="V49" i="2"/>
  <c r="Z49" i="2" s="1"/>
  <c r="V174" i="2"/>
  <c r="Z174" i="2" s="1"/>
  <c r="V3" i="2"/>
  <c r="Z3" i="2" s="1"/>
  <c r="V452" i="2"/>
  <c r="Z452" i="2" s="1"/>
  <c r="V63" i="2"/>
  <c r="Z63" i="2" s="1"/>
  <c r="Y17" i="2"/>
  <c r="Y441" i="2"/>
  <c r="Y187" i="2"/>
  <c r="Y362" i="2"/>
  <c r="Y66" i="2"/>
  <c r="Y226" i="2"/>
  <c r="V74" i="2"/>
  <c r="Z74" i="2" s="1"/>
  <c r="Y74" i="2"/>
  <c r="V420" i="2"/>
  <c r="Z420" i="2" s="1"/>
  <c r="Y420" i="2"/>
  <c r="Y99" i="2"/>
  <c r="V99" i="2"/>
  <c r="Z99" i="2" s="1"/>
  <c r="Y319" i="2"/>
  <c r="V319" i="2"/>
  <c r="Z319" i="2" s="1"/>
  <c r="V6" i="2"/>
  <c r="Z6" i="2" s="1"/>
  <c r="V111" i="2"/>
  <c r="Z111" i="2" s="1"/>
  <c r="Y419" i="2"/>
  <c r="Y426" i="2"/>
  <c r="Y205" i="2"/>
  <c r="Y183" i="2"/>
  <c r="Y94" i="2"/>
  <c r="Y192" i="2"/>
  <c r="Y143" i="2"/>
  <c r="Y349" i="2"/>
  <c r="Y247" i="2"/>
  <c r="Y307" i="2"/>
  <c r="Y70" i="2"/>
  <c r="Y451" i="2"/>
  <c r="V341" i="2"/>
  <c r="Z341" i="2" s="1"/>
  <c r="Y341" i="2"/>
  <c r="V46" i="2"/>
  <c r="Z46" i="2" s="1"/>
  <c r="Y46" i="2"/>
  <c r="V369" i="2"/>
  <c r="Z369" i="2" s="1"/>
  <c r="V418" i="2"/>
  <c r="Z418" i="2" s="1"/>
  <c r="V390" i="2"/>
  <c r="Z390" i="2" s="1"/>
  <c r="V92" i="2"/>
  <c r="Z92" i="2" s="1"/>
  <c r="V80" i="2"/>
  <c r="Z80" i="2" s="1"/>
  <c r="V167" i="2"/>
  <c r="Z167" i="2" s="1"/>
  <c r="V289" i="2"/>
  <c r="Z289" i="2" s="1"/>
  <c r="V8" i="2"/>
  <c r="Z8" i="2" s="1"/>
  <c r="V76" i="2"/>
  <c r="Z76" i="2" s="1"/>
  <c r="V69" i="2"/>
  <c r="Z69" i="2" s="1"/>
  <c r="V4" i="2"/>
  <c r="Z4" i="2" s="1"/>
  <c r="V454" i="2"/>
  <c r="Z454" i="2" s="1"/>
  <c r="V348" i="2"/>
  <c r="Z348" i="2" s="1"/>
  <c r="Y311" i="2"/>
  <c r="Y82" i="2"/>
  <c r="Y343" i="2"/>
  <c r="Y45" i="2"/>
  <c r="Y193" i="2"/>
  <c r="Y252" i="2"/>
  <c r="Y5" i="2"/>
  <c r="Y75" i="2"/>
  <c r="Y89" i="2"/>
  <c r="Y330" i="2"/>
  <c r="Y391" i="2"/>
  <c r="V391" i="2"/>
  <c r="Z391" i="2" s="1"/>
  <c r="Y109" i="2"/>
  <c r="V109" i="2"/>
  <c r="Z109" i="2" s="1"/>
  <c r="V339" i="2"/>
  <c r="Z339" i="2" s="1"/>
  <c r="V314" i="2"/>
  <c r="Z314" i="2" s="1"/>
  <c r="V41" i="2"/>
  <c r="Z41" i="2" s="1"/>
  <c r="V274" i="2"/>
  <c r="Z274" i="2" s="1"/>
  <c r="V56" i="2"/>
  <c r="Z56" i="2" s="1"/>
  <c r="V256" i="2"/>
  <c r="Z256" i="2" s="1"/>
  <c r="Y443" i="2"/>
  <c r="Y291" i="2"/>
  <c r="Y301" i="2"/>
  <c r="Y276" i="2"/>
  <c r="Y427" i="2"/>
  <c r="Y320" i="2"/>
  <c r="Y207" i="2"/>
  <c r="Y86" i="2"/>
  <c r="Y353" i="2"/>
  <c r="Y429" i="2"/>
  <c r="Y336" i="2"/>
  <c r="Y393" i="2"/>
  <c r="V457" i="2"/>
  <c r="Z457" i="2" s="1"/>
  <c r="Y457" i="2"/>
  <c r="V361" i="2"/>
  <c r="Z361" i="2" s="1"/>
  <c r="Y361" i="2"/>
  <c r="V303" i="2"/>
  <c r="Z303" i="2" s="1"/>
  <c r="V310" i="2"/>
  <c r="Z310" i="2" s="1"/>
  <c r="V236" i="2"/>
  <c r="Z236" i="2" s="1"/>
  <c r="V302" i="2"/>
  <c r="Z302" i="2" s="1"/>
  <c r="V38" i="2"/>
  <c r="Z38" i="2" s="1"/>
  <c r="V127" i="2"/>
  <c r="Z127" i="2" s="1"/>
  <c r="V271" i="2"/>
  <c r="Z271" i="2" s="1"/>
  <c r="V128" i="2"/>
  <c r="Z128" i="2" s="1"/>
  <c r="V389" i="2"/>
  <c r="Z389" i="2" s="1"/>
  <c r="V112" i="2"/>
  <c r="Z112" i="2" s="1"/>
  <c r="V309" i="2"/>
  <c r="Z309" i="2" s="1"/>
  <c r="V145" i="2"/>
  <c r="Z145" i="2" s="1"/>
  <c r="V84" i="2"/>
  <c r="Z84" i="2" s="1"/>
  <c r="V162" i="2"/>
  <c r="Z162" i="2" s="1"/>
  <c r="Y280" i="2"/>
  <c r="Y383" i="2"/>
  <c r="Y161" i="2"/>
  <c r="Y176" i="2"/>
  <c r="Y231" i="2"/>
  <c r="V199" i="2"/>
  <c r="Z199" i="2" s="1"/>
  <c r="V209" i="2"/>
  <c r="Z209" i="2" s="1"/>
  <c r="V106" i="2"/>
  <c r="Z106" i="2" s="1"/>
  <c r="Y363" i="2"/>
  <c r="Y285" i="2"/>
  <c r="Y255" i="2"/>
  <c r="Y189" i="2"/>
  <c r="Y399" i="2"/>
  <c r="Y117" i="2"/>
  <c r="Y28" i="2"/>
  <c r="V359" i="2"/>
  <c r="Z359" i="2" s="1"/>
  <c r="Y359" i="2"/>
  <c r="V282" i="2"/>
  <c r="Z282" i="2" s="1"/>
  <c r="Y282" i="2"/>
  <c r="Y447" i="2"/>
  <c r="V447" i="2"/>
  <c r="Z447" i="2" s="1"/>
  <c r="V197" i="2"/>
  <c r="Z197" i="2" s="1"/>
  <c r="V407" i="2"/>
  <c r="Z407" i="2" s="1"/>
  <c r="V52" i="2"/>
  <c r="Z52" i="2" s="1"/>
  <c r="V246" i="2"/>
  <c r="Z246" i="2" s="1"/>
  <c r="V413" i="2"/>
  <c r="Z413" i="2" s="1"/>
  <c r="V352" i="2"/>
  <c r="Z352" i="2" s="1"/>
  <c r="Y296" i="2"/>
  <c r="Y281" i="2"/>
  <c r="V281" i="2"/>
  <c r="Z281" i="2" s="1"/>
  <c r="V40" i="2"/>
  <c r="Z40" i="2" s="1"/>
  <c r="Y40" i="2"/>
  <c r="V81" i="2"/>
  <c r="Z81" i="2" s="1"/>
  <c r="V26" i="2"/>
  <c r="Z26" i="2" s="1"/>
  <c r="V242" i="2"/>
  <c r="Z242" i="2" s="1"/>
  <c r="V36" i="2"/>
  <c r="Z36" i="2" s="1"/>
  <c r="Y156" i="2"/>
  <c r="Y132" i="2"/>
  <c r="Y322" i="2"/>
  <c r="Y229" i="2"/>
  <c r="Y240" i="2"/>
  <c r="Y293" i="2"/>
  <c r="Y371" i="2"/>
  <c r="V371" i="2"/>
  <c r="Z371" i="2" s="1"/>
  <c r="Y439" i="2"/>
  <c r="V439" i="2"/>
  <c r="Z439" i="2" s="1"/>
  <c r="V245" i="2"/>
  <c r="Z245" i="2" s="1"/>
  <c r="V19" i="2"/>
  <c r="Z19" i="2" s="1"/>
  <c r="V93" i="2"/>
  <c r="Z93" i="2" s="1"/>
  <c r="V424" i="2"/>
  <c r="Z424" i="2" s="1"/>
  <c r="V217" i="2"/>
  <c r="Z217" i="2" s="1"/>
  <c r="V442" i="2"/>
  <c r="Z442" i="2" s="1"/>
  <c r="V428" i="2"/>
  <c r="Z428" i="2" s="1"/>
  <c r="V16" i="2"/>
  <c r="Z16" i="2" s="1"/>
  <c r="V157" i="2"/>
  <c r="Z157" i="2" s="1"/>
  <c r="V337" i="2"/>
  <c r="Z337" i="2" s="1"/>
  <c r="V421" i="2"/>
  <c r="Z421" i="2" s="1"/>
  <c r="Y416" i="2"/>
  <c r="Y31" i="2"/>
  <c r="U437" i="2"/>
  <c r="U360" i="2"/>
  <c r="U312" i="2"/>
  <c r="U235" i="2"/>
  <c r="U370" i="2"/>
  <c r="U327" i="2"/>
  <c r="U278" i="2"/>
  <c r="U364" i="2"/>
  <c r="U318" i="2"/>
  <c r="U253" i="2"/>
  <c r="U218" i="2"/>
  <c r="U395" i="2"/>
  <c r="U1" i="2" l="1"/>
  <c r="Z114" i="2"/>
  <c r="Y364" i="2"/>
  <c r="V364" i="2"/>
  <c r="Z364" i="2" s="1"/>
  <c r="Y318" i="2"/>
  <c r="V318" i="2"/>
  <c r="Z318" i="2" s="1"/>
  <c r="V235" i="2"/>
  <c r="Z235" i="2" s="1"/>
  <c r="Y235" i="2"/>
  <c r="Y327" i="2"/>
  <c r="V327" i="2"/>
  <c r="Z327" i="2" s="1"/>
  <c r="Y312" i="2"/>
  <c r="V312" i="2"/>
  <c r="Z312" i="2" s="1"/>
  <c r="Y370" i="2"/>
  <c r="V370" i="2"/>
  <c r="Z370" i="2" s="1"/>
  <c r="V360" i="2"/>
  <c r="Z360" i="2" s="1"/>
  <c r="Y360" i="2"/>
  <c r="Y278" i="2"/>
  <c r="V278" i="2"/>
  <c r="Z278" i="2" s="1"/>
  <c r="Y253" i="2"/>
  <c r="V253" i="2"/>
  <c r="Z253" i="2" s="1"/>
  <c r="V437" i="2"/>
  <c r="Z437" i="2" s="1"/>
  <c r="Y437" i="2"/>
  <c r="V395" i="2"/>
  <c r="Z395" i="2" s="1"/>
  <c r="Y395" i="2"/>
  <c r="Y218" i="2"/>
  <c r="V218" i="2"/>
  <c r="Z218" i="2" s="1"/>
  <c r="Y1" i="2" l="1"/>
  <c r="V1" i="2"/>
  <c r="Z1" i="2"/>
  <c r="V40" i="4"/>
  <c r="Z40" i="4" s="1"/>
  <c r="V38" i="4"/>
  <c r="Z38" i="4" s="1"/>
  <c r="V11" i="4"/>
  <c r="V13" i="4"/>
  <c r="Z13" i="4" s="1"/>
  <c r="V21" i="4"/>
  <c r="Z21" i="4" s="1"/>
  <c r="V51" i="4"/>
  <c r="Z51" i="4" s="1"/>
  <c r="V41" i="4"/>
  <c r="Z41" i="4" s="1"/>
  <c r="V62" i="4"/>
  <c r="W62" i="4" s="1"/>
  <c r="AA62" i="4" s="1"/>
  <c r="V32" i="4"/>
  <c r="W32" i="4" s="1"/>
  <c r="AA32" i="4" s="1"/>
  <c r="V14" i="4"/>
  <c r="W14" i="4" s="1"/>
  <c r="AA14" i="4" s="1"/>
  <c r="V43" i="4"/>
  <c r="W43" i="4" s="1"/>
  <c r="AA43" i="4" s="1"/>
  <c r="V22" i="4"/>
  <c r="W22" i="4" s="1"/>
  <c r="AA22" i="4" s="1"/>
  <c r="V69" i="4"/>
  <c r="V23" i="4"/>
  <c r="V65" i="4"/>
  <c r="Z65" i="4" s="1"/>
  <c r="V4" i="4"/>
  <c r="Z4" i="4" s="1"/>
  <c r="V36" i="4"/>
  <c r="Z36" i="4" s="1"/>
  <c r="V33" i="4"/>
  <c r="Z33" i="4" s="1"/>
  <c r="V52" i="4"/>
  <c r="V5" i="4"/>
  <c r="Z5" i="4" s="1"/>
  <c r="V17" i="4"/>
  <c r="Z17" i="4" s="1"/>
  <c r="V60" i="4"/>
  <c r="Z60" i="4" s="1"/>
  <c r="V8" i="4"/>
  <c r="V18" i="4"/>
  <c r="W18" i="4" s="1"/>
  <c r="AA18" i="4" s="1"/>
  <c r="V27" i="4"/>
  <c r="W27" i="4" s="1"/>
  <c r="AA27" i="4" s="1"/>
  <c r="V29" i="4"/>
  <c r="W29" i="4" s="1"/>
  <c r="AA29" i="4" s="1"/>
  <c r="V67" i="4"/>
  <c r="W67" i="4" s="1"/>
  <c r="AA67" i="4" s="1"/>
  <c r="V3" i="4"/>
  <c r="V24" i="4"/>
  <c r="Z24" i="4" s="1"/>
  <c r="V39" i="4"/>
  <c r="Z39" i="4" s="1"/>
  <c r="V58" i="4"/>
  <c r="Z58" i="4" s="1"/>
  <c r="V61" i="4"/>
  <c r="Z61" i="4" s="1"/>
  <c r="V45" i="4"/>
  <c r="Z45" i="4" s="1"/>
  <c r="V54" i="4"/>
  <c r="Z54" i="4" s="1"/>
  <c r="V55" i="4"/>
  <c r="V64" i="4"/>
  <c r="Z64" i="4" s="1"/>
  <c r="V12" i="4"/>
  <c r="Z12" i="4" s="1"/>
  <c r="V57" i="4"/>
  <c r="W57" i="4" s="1"/>
  <c r="AA57" i="4" s="1"/>
  <c r="V19" i="4"/>
  <c r="Z19" i="4" s="1"/>
  <c r="V25" i="4"/>
  <c r="W25" i="4" s="1"/>
  <c r="AA25" i="4" s="1"/>
  <c r="V30" i="4"/>
  <c r="W30" i="4" s="1"/>
  <c r="AA30" i="4" s="1"/>
  <c r="V46" i="4"/>
  <c r="W46" i="4" s="1"/>
  <c r="AA46" i="4" s="1"/>
  <c r="V71" i="4"/>
  <c r="W71" i="4" s="1"/>
  <c r="AA71" i="4" s="1"/>
  <c r="V44" i="4"/>
  <c r="W44" i="4" s="1"/>
  <c r="AA44" i="4" s="1"/>
  <c r="V47" i="4"/>
  <c r="V70" i="4"/>
  <c r="Z70" i="4" s="1"/>
  <c r="V72" i="4"/>
  <c r="Z72" i="4" s="1"/>
  <c r="V56" i="4"/>
  <c r="Z56" i="4" s="1"/>
  <c r="V7" i="4"/>
  <c r="Z7" i="4" s="1"/>
  <c r="V9" i="4"/>
  <c r="Z9" i="4" s="1"/>
  <c r="V15" i="4"/>
  <c r="Z15" i="4" s="1"/>
  <c r="V20" i="4"/>
  <c r="Z20" i="4" s="1"/>
  <c r="V28" i="4"/>
  <c r="Z28" i="4" s="1"/>
  <c r="V35" i="4"/>
  <c r="W35" i="4" s="1"/>
  <c r="AA35" i="4" s="1"/>
  <c r="V37" i="4"/>
  <c r="V42" i="4"/>
  <c r="V49" i="4"/>
  <c r="W49" i="4" s="1"/>
  <c r="AA49" i="4" s="1"/>
  <c r="V50" i="4"/>
  <c r="W50" i="4" s="1"/>
  <c r="AA50" i="4" s="1"/>
  <c r="V53" i="4"/>
  <c r="W53" i="4" s="1"/>
  <c r="AA53" i="4" s="1"/>
  <c r="V63" i="4"/>
  <c r="W63" i="4" s="1"/>
  <c r="AA63" i="4" s="1"/>
  <c r="V66" i="4"/>
  <c r="V68" i="4"/>
  <c r="Z68" i="4" s="1"/>
  <c r="V34" i="4"/>
  <c r="Z34" i="4" s="1"/>
  <c r="V48" i="4"/>
  <c r="Z48" i="4" s="1"/>
  <c r="V6" i="4"/>
  <c r="Z6" i="4" s="1"/>
  <c r="V10" i="4"/>
  <c r="Z10" i="4" s="1"/>
  <c r="V16" i="4"/>
  <c r="V26" i="4"/>
  <c r="Z26" i="4" s="1"/>
  <c r="V73" i="4"/>
  <c r="Z73" i="4" s="1"/>
  <c r="V31" i="4"/>
  <c r="Z31" i="4" s="1"/>
  <c r="F1" i="4"/>
  <c r="E1" i="4"/>
  <c r="Y1" i="4"/>
  <c r="X1" i="4"/>
  <c r="S1" i="4"/>
  <c r="R1" i="4"/>
  <c r="P1" i="4"/>
  <c r="O1" i="4"/>
  <c r="N1" i="4"/>
  <c r="M1" i="4"/>
  <c r="L1" i="4"/>
  <c r="K1" i="4"/>
  <c r="H1" i="4"/>
  <c r="G1" i="4"/>
  <c r="C1" i="4"/>
  <c r="A1" i="4"/>
  <c r="A1" i="2"/>
  <c r="Z16" i="4" l="1"/>
  <c r="W16" i="4"/>
  <c r="AA16" i="4" s="1"/>
  <c r="Z66" i="4"/>
  <c r="W66" i="4"/>
  <c r="AA66" i="4" s="1"/>
  <c r="W42" i="4"/>
  <c r="AA42" i="4" s="1"/>
  <c r="Z42" i="4"/>
  <c r="Z37" i="4"/>
  <c r="W37" i="4"/>
  <c r="AA37" i="4" s="1"/>
  <c r="Z47" i="4"/>
  <c r="W47" i="4"/>
  <c r="AA47" i="4" s="1"/>
  <c r="Z55" i="4"/>
  <c r="W55" i="4"/>
  <c r="AA55" i="4" s="1"/>
  <c r="W3" i="4"/>
  <c r="AA3" i="4" s="1"/>
  <c r="Z3" i="4"/>
  <c r="Z8" i="4"/>
  <c r="W8" i="4"/>
  <c r="AA8" i="4" s="1"/>
  <c r="Z52" i="4"/>
  <c r="W52" i="4"/>
  <c r="AA52" i="4" s="1"/>
  <c r="Z69" i="4"/>
  <c r="W69" i="4"/>
  <c r="AA69" i="4" s="1"/>
  <c r="Z11" i="4"/>
  <c r="W11" i="4"/>
  <c r="AA11" i="4" s="1"/>
  <c r="Z53" i="4"/>
  <c r="Z35" i="4"/>
  <c r="Z44" i="4"/>
  <c r="W15" i="4"/>
  <c r="AA15" i="4" s="1"/>
  <c r="Z25" i="4"/>
  <c r="Z71" i="4"/>
  <c r="Z57" i="4"/>
  <c r="W24" i="4"/>
  <c r="AA24" i="4" s="1"/>
  <c r="Z67" i="4"/>
  <c r="Z22" i="4"/>
  <c r="Z43" i="4"/>
  <c r="Z62" i="4"/>
  <c r="W72" i="4"/>
  <c r="AA72" i="4" s="1"/>
  <c r="W65" i="4"/>
  <c r="AA65" i="4" s="1"/>
  <c r="W19" i="4"/>
  <c r="AA19" i="4" s="1"/>
  <c r="W41" i="4"/>
  <c r="AA41" i="4" s="1"/>
  <c r="W31" i="4"/>
  <c r="AA31" i="4" s="1"/>
  <c r="W51" i="4"/>
  <c r="AA51" i="4" s="1"/>
  <c r="W73" i="4"/>
  <c r="AA73" i="4" s="1"/>
  <c r="W12" i="4"/>
  <c r="AA12" i="4" s="1"/>
  <c r="W21" i="4"/>
  <c r="AA21" i="4" s="1"/>
  <c r="W10" i="4"/>
  <c r="AA10" i="4" s="1"/>
  <c r="W54" i="4"/>
  <c r="AA54" i="4" s="1"/>
  <c r="W38" i="4"/>
  <c r="AA38" i="4" s="1"/>
  <c r="W48" i="4"/>
  <c r="AA48" i="4" s="1"/>
  <c r="W61" i="4"/>
  <c r="AA61" i="4" s="1"/>
  <c r="W34" i="4"/>
  <c r="AA34" i="4" s="1"/>
  <c r="W58" i="4"/>
  <c r="AA58" i="4" s="1"/>
  <c r="W60" i="4"/>
  <c r="AA60" i="4" s="1"/>
  <c r="Z63" i="4"/>
  <c r="Z18" i="4"/>
  <c r="W28" i="4"/>
  <c r="AA28" i="4" s="1"/>
  <c r="W17" i="4"/>
  <c r="AA17" i="4" s="1"/>
  <c r="W9" i="4"/>
  <c r="AA9" i="4" s="1"/>
  <c r="W33" i="4"/>
  <c r="AA33" i="4" s="1"/>
  <c r="W56" i="4"/>
  <c r="AA56" i="4" s="1"/>
  <c r="W4" i="4"/>
  <c r="AA4" i="4" s="1"/>
  <c r="V1" i="4"/>
  <c r="W26" i="4"/>
  <c r="AA26" i="4" s="1"/>
  <c r="W20" i="4"/>
  <c r="AA20" i="4" s="1"/>
  <c r="W64" i="4"/>
  <c r="AA64" i="4" s="1"/>
  <c r="W5" i="4"/>
  <c r="AA5" i="4" s="1"/>
  <c r="W13" i="4"/>
  <c r="AA13" i="4" s="1"/>
  <c r="Z50" i="4"/>
  <c r="Z46" i="4"/>
  <c r="Z29" i="4"/>
  <c r="Z14" i="4"/>
  <c r="Z49" i="4"/>
  <c r="Z30" i="4"/>
  <c r="Z27" i="4"/>
  <c r="Z32" i="4"/>
  <c r="W6" i="4"/>
  <c r="AA6" i="4" s="1"/>
  <c r="W7" i="4"/>
  <c r="AA7" i="4" s="1"/>
  <c r="W45" i="4"/>
  <c r="AA45" i="4" s="1"/>
  <c r="W36" i="4"/>
  <c r="AA36" i="4" s="1"/>
  <c r="W40" i="4"/>
  <c r="AA40" i="4" s="1"/>
  <c r="W68" i="4"/>
  <c r="AA68" i="4" s="1"/>
  <c r="W70" i="4"/>
  <c r="AA70" i="4" s="1"/>
  <c r="W39" i="4"/>
  <c r="AA39" i="4" s="1"/>
  <c r="W23" i="4"/>
  <c r="AA23" i="4" s="1"/>
  <c r="Z23" i="4"/>
  <c r="Z1" i="4" l="1"/>
  <c r="AA1" i="4"/>
  <c r="W1" i="4"/>
  <c r="I1" i="2" l="1"/>
  <c r="G1" i="2" l="1"/>
  <c r="J1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tc={0BABC3AA-CBE7-4C81-A2A7-C9F212BA7DBA}</author>
  </authors>
  <commentList>
    <comment ref="F2" authorId="0" shapeId="0" xr:uid="{0BABC3AA-CBE7-4C81-A2A7-C9F212BA7DBA}">
      <text>
        <t>[Threaded comment]
Your version of Excel allows you to read this threaded comment; however, any edits to it will get removed if the file is opened in a newer version of Excel. Learn more: https://go.microsoft.com/fwlink/?linkid=870924
Comment:
    *Not intended to accurately estimate turnout; used for planning purposes only and is restricted for INTERNAL USE ONLY*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tc={E674A84C-3CE1-4AB0-8EAD-7FAD383D303A}</author>
    <author>tc={70633ED8-5E8F-4D6D-AA0B-1DFF32BA4FCB}</author>
  </authors>
  <commentList>
    <comment ref="D2" authorId="0" shapeId="0" xr:uid="{E674A84C-3CE1-4AB0-8EAD-7FAD383D303A}">
      <text>
        <t>[Threaded comment]
Your version of Excel allows you to read this threaded comment; however, any edits to it will get removed if the file is opened in a newer version of Excel. Learn more: https://go.microsoft.com/fwlink/?linkid=870924
Comment:
    *Not intended to accurately estimate turnout; used for planning purposes only and is restricted for INTERNAL USE ONLY*</t>
      </text>
    </comment>
    <comment ref="K2" authorId="1" shapeId="0" xr:uid="{70633ED8-5E8F-4D6D-AA0B-1DFF32BA4FCB}">
      <text>
        <t>[Threaded comment]
Your version of Excel allows you to read this threaded comment; however, any edits to it will get removed if the file is opened in a newer version of Excel. Learn more: https://go.microsoft.com/fwlink/?linkid=870924
Comment:
    *Not intended to accurately estimate turnout; used for planning purposes only and is restricted for INTERNAL USE ONLY*</t>
      </text>
    </comment>
  </commentList>
</comments>
</file>

<file path=xl/sharedStrings.xml><?xml version="1.0" encoding="utf-8"?>
<sst xmlns="http://schemas.openxmlformats.org/spreadsheetml/2006/main" count="3136" uniqueCount="1103">
  <si>
    <t>Updates Made to this Workbook Since Original Release on 9/5/24</t>
  </si>
  <si>
    <t>Date Updated</t>
  </si>
  <si>
    <t>Poll Code</t>
  </si>
  <si>
    <t>Vote Center Name</t>
  </si>
  <si>
    <t>Action</t>
  </si>
  <si>
    <t>Notes</t>
  </si>
  <si>
    <t>E0001</t>
  </si>
  <si>
    <t>MLK Jr Recreation Center</t>
  </si>
  <si>
    <t>replaced</t>
  </si>
  <si>
    <t>E0001 is being replaced by E0029 MLK Jr Branch Library</t>
  </si>
  <si>
    <t>V0010</t>
  </si>
  <si>
    <t>V0010 is being replaced by V0051 MLK Jr Branch Library</t>
  </si>
  <si>
    <t>E0017</t>
  </si>
  <si>
    <t>Freedom Place Church</t>
  </si>
  <si>
    <t>allocations modified</t>
  </si>
  <si>
    <t>There was a mistake in the formula; allocations increased</t>
  </si>
  <si>
    <t>V0058</t>
  </si>
  <si>
    <t>E0030</t>
  </si>
  <si>
    <t>Northway Christian Church</t>
  </si>
  <si>
    <t>V0076</t>
  </si>
  <si>
    <t>E3400</t>
  </si>
  <si>
    <t>Balch Springs Civic Center</t>
  </si>
  <si>
    <t>E3400 is being replaced by E3408 Balch Springs Recreation Center</t>
  </si>
  <si>
    <t>V3400</t>
  </si>
  <si>
    <t>V3400 is being replaced by V3408 Balch Springs Recreation Center</t>
  </si>
  <si>
    <t>added</t>
  </si>
  <si>
    <t>V3400 Balch Springs Civic Center was added back due to a received contract</t>
  </si>
  <si>
    <t>V0001</t>
  </si>
  <si>
    <t>The Branch Connection</t>
  </si>
  <si>
    <t>removed</t>
  </si>
  <si>
    <t>V0001 The Branch Connection was removed because it is not available</t>
  </si>
  <si>
    <t>V2038</t>
  </si>
  <si>
    <t>Geneva Heights Elementary School</t>
  </si>
  <si>
    <t>V2038 Geneva Heights Elementary School was removed because it is not available</t>
  </si>
  <si>
    <t>V2073</t>
  </si>
  <si>
    <t>Bath House Cultural Center</t>
  </si>
  <si>
    <t>V2073 Bath House Cultural Center was removed because it is not available</t>
  </si>
  <si>
    <t>V2601</t>
  </si>
  <si>
    <t>Valley Ranch Elementary School</t>
  </si>
  <si>
    <t>V2601 Valley Ranch Elementary School was removed because it is not available</t>
  </si>
  <si>
    <t>V4601</t>
  </si>
  <si>
    <t>Sally B Elliot Elementary School</t>
  </si>
  <si>
    <t>V4601 Sally B Elliot Elementary School was removed because it is not available</t>
  </si>
  <si>
    <t>V4652</t>
  </si>
  <si>
    <t>Britain Elementary School</t>
  </si>
  <si>
    <t>V4652 Britain Elementary School was removed because it is permanently declined</t>
  </si>
  <si>
    <t>n/a</t>
  </si>
  <si>
    <r>
      <t xml:space="preserve">added an </t>
    </r>
    <r>
      <rPr>
        <b/>
        <sz val="11"/>
        <color theme="1"/>
        <rFont val="Calibri"/>
        <family val="2"/>
        <scheme val="minor"/>
      </rPr>
      <t>ED Poll Code</t>
    </r>
    <r>
      <rPr>
        <sz val="11"/>
        <color theme="1"/>
        <rFont val="Calibri"/>
        <family val="2"/>
        <scheme val="minor"/>
      </rPr>
      <t xml:space="preserve"> column to EV Allocations sheet and an </t>
    </r>
    <r>
      <rPr>
        <b/>
        <sz val="11"/>
        <color theme="1"/>
        <rFont val="Calibri"/>
        <family val="2"/>
        <scheme val="minor"/>
      </rPr>
      <t>EV Poll Code</t>
    </r>
    <r>
      <rPr>
        <sz val="11"/>
        <color theme="1"/>
        <rFont val="Calibri"/>
        <family val="2"/>
        <scheme val="minor"/>
      </rPr>
      <t xml:space="preserve"> column to ED Allocations sheet</t>
    </r>
  </si>
  <si>
    <r>
      <t xml:space="preserve">added a </t>
    </r>
    <r>
      <rPr>
        <b/>
        <sz val="11"/>
        <color theme="1"/>
        <rFont val="Calibri"/>
        <family val="2"/>
        <scheme val="minor"/>
      </rPr>
      <t>Regional Site</t>
    </r>
    <r>
      <rPr>
        <sz val="11"/>
        <color theme="1"/>
        <rFont val="Calibri"/>
        <family val="2"/>
        <scheme val="minor"/>
      </rPr>
      <t xml:space="preserve"> column to ED Allocations sheet</t>
    </r>
  </si>
  <si>
    <t>E2604</t>
  </si>
  <si>
    <t>Valley Ranch Library</t>
  </si>
  <si>
    <t>Due to room size, number of clerks was reduced from 20 to 10</t>
  </si>
  <si>
    <t>E0012</t>
  </si>
  <si>
    <t>Glenn Heights Family Center</t>
  </si>
  <si>
    <t>E0012 is being replaced by E0048 Glenn Heights Community Center</t>
  </si>
  <si>
    <t>V0046</t>
  </si>
  <si>
    <t>V0046 is being replaced by V0090 Glenn Heights Community Center</t>
  </si>
  <si>
    <r>
      <t xml:space="preserve">updated the </t>
    </r>
    <r>
      <rPr>
        <b/>
        <sz val="11"/>
        <color theme="1"/>
        <rFont val="Calibri"/>
        <family val="2"/>
        <scheme val="minor"/>
      </rPr>
      <t xml:space="preserve">Regional Site </t>
    </r>
    <r>
      <rPr>
        <sz val="11"/>
        <color theme="1"/>
        <rFont val="Calibri"/>
        <family val="2"/>
        <scheme val="minor"/>
      </rPr>
      <t xml:space="preserve">column on ED Allocations sheet using the </t>
    </r>
    <r>
      <rPr>
        <b/>
        <sz val="11"/>
        <color theme="1"/>
        <rFont val="Calibri"/>
        <family val="2"/>
        <scheme val="minor"/>
      </rPr>
      <t>Locations Assigned to Election with Regional Sites</t>
    </r>
    <r>
      <rPr>
        <sz val="11"/>
        <color theme="1"/>
        <rFont val="Calibri"/>
        <family val="2"/>
        <scheme val="minor"/>
      </rPr>
      <t xml:space="preserve"> Power BI report</t>
    </r>
  </si>
  <si>
    <t>V2040</t>
  </si>
  <si>
    <t>St Andrews Presbyterian Church</t>
  </si>
  <si>
    <t>V2040 St Andrews Presbyterian Church was removed because it is not available</t>
  </si>
  <si>
    <t>V3027</t>
  </si>
  <si>
    <t>Lincoln High School - CHM</t>
  </si>
  <si>
    <t>V3027 Lincoln High School - CHM was removed because it is not available</t>
  </si>
  <si>
    <t>V0088</t>
  </si>
  <si>
    <t>Canyon Ranch Elementary School</t>
  </si>
  <si>
    <t>V0088 Canyon Ranch Elementary School is being added in leiu of V2601 Valley Ranch Elementary School</t>
  </si>
  <si>
    <t>V4601 Sally B Elliot Elementary School is being added back because it is available</t>
  </si>
  <si>
    <t>V4652 is being replaced by V0089 Bowie Middle School</t>
  </si>
  <si>
    <r>
      <t xml:space="preserve">updated the </t>
    </r>
    <r>
      <rPr>
        <b/>
        <sz val="11"/>
        <color theme="1"/>
        <rFont val="Calibri"/>
        <family val="2"/>
        <scheme val="minor"/>
      </rPr>
      <t>Regional Site</t>
    </r>
    <r>
      <rPr>
        <sz val="11"/>
        <color theme="1"/>
        <rFont val="Calibri"/>
        <family val="2"/>
        <scheme val="minor"/>
      </rPr>
      <t xml:space="preserve"> column on ED Allocations sheet using the </t>
    </r>
    <r>
      <rPr>
        <b/>
        <sz val="11"/>
        <color theme="1"/>
        <rFont val="Calibri"/>
        <family val="2"/>
        <scheme val="minor"/>
      </rPr>
      <t>Locations Assigned to Election with Regional Sites</t>
    </r>
    <r>
      <rPr>
        <sz val="11"/>
        <color theme="1"/>
        <rFont val="Calibri"/>
        <family val="2"/>
        <scheme val="minor"/>
      </rPr>
      <t xml:space="preserve"> Power BI report</t>
    </r>
  </si>
  <si>
    <r>
      <t xml:space="preserve">updated the </t>
    </r>
    <r>
      <rPr>
        <b/>
        <sz val="11"/>
        <color theme="1"/>
        <rFont val="Calibri"/>
        <family val="2"/>
        <scheme val="minor"/>
      </rPr>
      <t>Vote Center Name</t>
    </r>
    <r>
      <rPr>
        <sz val="11"/>
        <color theme="1"/>
        <rFont val="Calibri"/>
        <family val="2"/>
        <scheme val="minor"/>
      </rPr>
      <t xml:space="preserve"> column on EV Allocations and ED Allocations sheet using the </t>
    </r>
    <r>
      <rPr>
        <b/>
        <sz val="11"/>
        <color theme="1"/>
        <rFont val="Calibri"/>
        <family val="2"/>
        <scheme val="minor"/>
      </rPr>
      <t>Locations Assigned to Election with Regional Sites</t>
    </r>
    <r>
      <rPr>
        <sz val="11"/>
        <color theme="1"/>
        <rFont val="Calibri"/>
        <family val="2"/>
        <scheme val="minor"/>
      </rPr>
      <t xml:space="preserve"> Power BI report</t>
    </r>
  </si>
  <si>
    <t>V0042</t>
  </si>
  <si>
    <t>Frank Crowley Courts Building</t>
  </si>
  <si>
    <t>Following discussion in the 9/30 Election Planning meeting, it was decided to change the 6 hard case voting machines to 6 "medical" curbside cart voting machines</t>
  </si>
  <si>
    <t>Following discussion with Logistics, Election Analytics and Exec Staff, Early Voting and Election Day allocations for "cart" and "rollie" voting machines were adjusted</t>
  </si>
  <si>
    <t>V0092</t>
  </si>
  <si>
    <t>Charles Rice Learning Center</t>
  </si>
  <si>
    <t>V0092 is being added in leiu of V3027 Lincoln High School - CHM</t>
  </si>
  <si>
    <t>E2927</t>
  </si>
  <si>
    <t>Rowlett Community Centre</t>
  </si>
  <si>
    <t>E2927 is being added per a court order</t>
  </si>
  <si>
    <r>
      <t xml:space="preserve">Corrected a mistake in the formula for </t>
    </r>
    <r>
      <rPr>
        <b/>
        <sz val="11"/>
        <color theme="1"/>
        <rFont val="Calibri"/>
        <family val="2"/>
        <scheme val="minor"/>
      </rPr>
      <t xml:space="preserve">Voting Machines (All Types) </t>
    </r>
    <r>
      <rPr>
        <sz val="11"/>
        <color theme="1"/>
        <rFont val="Calibri"/>
        <family val="2"/>
        <scheme val="minor"/>
      </rPr>
      <t xml:space="preserve">(Column J) on EV Allocations sheet; description of the mistake: the sum did not include ★ </t>
    </r>
    <r>
      <rPr>
        <b/>
        <sz val="11"/>
        <color theme="1"/>
        <rFont val="Calibri"/>
        <family val="2"/>
        <scheme val="minor"/>
      </rPr>
      <t xml:space="preserve">Curbside (Rollie) Machines </t>
    </r>
    <r>
      <rPr>
        <sz val="11"/>
        <color theme="1"/>
        <rFont val="Calibri"/>
        <family val="2"/>
        <scheme val="minor"/>
      </rPr>
      <t>(Column I); no other columns affected</t>
    </r>
  </si>
  <si>
    <t>V2924</t>
  </si>
  <si>
    <t>V2924 is being added to planning out of an abundance of caution; this is not a final decision and should not be included in publically-released materials</t>
  </si>
  <si>
    <r>
      <t xml:space="preserve">Added a </t>
    </r>
    <r>
      <rPr>
        <b/>
        <sz val="11"/>
        <color theme="1"/>
        <rFont val="Calibri"/>
        <family val="2"/>
        <scheme val="minor"/>
      </rPr>
      <t xml:space="preserve">Total # of Workers if Calculated Like ED (incld. PEO(s), AEO and Clerks) </t>
    </r>
    <r>
      <rPr>
        <sz val="11"/>
        <color theme="1"/>
        <rFont val="Calibri"/>
        <family val="2"/>
        <scheme val="minor"/>
      </rPr>
      <t>(Column Q) column to the EV Allocations sheet so that Voting Sites can prioritze placing clerks</t>
    </r>
  </si>
  <si>
    <r>
      <t xml:space="preserve">Updated the </t>
    </r>
    <r>
      <rPr>
        <b/>
        <sz val="11"/>
        <color theme="1"/>
        <rFont val="Calibri"/>
        <family val="2"/>
        <scheme val="minor"/>
      </rPr>
      <t>★ E-Pollbooks</t>
    </r>
    <r>
      <rPr>
        <sz val="11"/>
        <color theme="1"/>
        <rFont val="Calibri"/>
        <family val="2"/>
        <scheme val="minor"/>
      </rPr>
      <t xml:space="preserve"> column on the ED Allocations sheet to</t>
    </r>
    <r>
      <rPr>
        <b/>
        <sz val="11"/>
        <color theme="1"/>
        <rFont val="Calibri"/>
        <family val="2"/>
        <scheme val="minor"/>
      </rPr>
      <t xml:space="preserve"> "Old EPB Allocation"</t>
    </r>
    <r>
      <rPr>
        <sz val="11"/>
        <color theme="1"/>
        <rFont val="Calibri"/>
        <family val="2"/>
        <scheme val="minor"/>
      </rPr>
      <t xml:space="preserve"> and added a </t>
    </r>
    <r>
      <rPr>
        <b/>
        <sz val="11"/>
        <color theme="1"/>
        <rFont val="Calibri"/>
        <family val="2"/>
        <scheme val="minor"/>
      </rPr>
      <t xml:space="preserve">★ New EPB Allocation </t>
    </r>
    <r>
      <rPr>
        <sz val="11"/>
        <color theme="1"/>
        <rFont val="Calibri"/>
        <family val="2"/>
        <scheme val="minor"/>
      </rPr>
      <t>column</t>
    </r>
  </si>
  <si>
    <r>
      <t xml:space="preserve">Added a </t>
    </r>
    <r>
      <rPr>
        <b/>
        <sz val="11"/>
        <color theme="1"/>
        <rFont val="Calibri"/>
        <family val="2"/>
        <scheme val="minor"/>
      </rPr>
      <t>Projected Turnout</t>
    </r>
    <r>
      <rPr>
        <sz val="11"/>
        <color theme="1"/>
        <rFont val="Calibri"/>
        <family val="2"/>
        <scheme val="minor"/>
      </rPr>
      <t xml:space="preserve"> column to the ED Allocations sheet (not intended to accurately estimate turnout; used for planning purposes only and is restricted for INTERNAL USE ONLY)</t>
    </r>
  </si>
  <si>
    <t>69 sites</t>
  </si>
  <si>
    <t>Flip Site?</t>
  </si>
  <si>
    <t>ED Poll Code</t>
  </si>
  <si>
    <t>★ E-Pollbooks</t>
  </si>
  <si>
    <t>★ Hard Case Voting Machines</t>
  </si>
  <si>
    <t>★ Soft Case (ADA) Voting Machines</t>
  </si>
  <si>
    <t>★ Curbside (Cart) Voting Machines</t>
  </si>
  <si>
    <t>★ Curbside (Rollie) Voting Machines</t>
  </si>
  <si>
    <t>Voting Machines (All Types)</t>
  </si>
  <si>
    <t>★ Vote Tabulator</t>
  </si>
  <si>
    <t>★ AEO Clerks</t>
  </si>
  <si>
    <t>★ PEO Clerks</t>
  </si>
  <si>
    <t>★ AEO</t>
  </si>
  <si>
    <t>★ PEO</t>
  </si>
  <si>
    <t>Total # of Workers (incld. PEO(s), AEO and Clerks)</t>
  </si>
  <si>
    <t>Total # of Workers if Calculated Like ED (incld. PEO(s), AEO and Clerks)</t>
  </si>
  <si>
    <t>★ Ballot Cards</t>
  </si>
  <si>
    <t>★ Ballot Card Pads</t>
  </si>
  <si>
    <t>Ballot Cards (max 10k)</t>
  </si>
  <si>
    <t>Ballot Card Pads (max 10k)</t>
  </si>
  <si>
    <t>Tables Needed</t>
  </si>
  <si>
    <t>Chairs Needed</t>
  </si>
  <si>
    <t>Tables Provided by the Vote Center</t>
  </si>
  <si>
    <t>Chairs Provided by the Vote Center</t>
  </si>
  <si>
    <t>★ Tables to be Deployed by DCED</t>
  </si>
  <si>
    <t>★ Chairs to be Deployed by DCED</t>
  </si>
  <si>
    <t>Y</t>
  </si>
  <si>
    <t>V3100</t>
  </si>
  <si>
    <t>E3106</t>
  </si>
  <si>
    <t>A E Sims Cedar Hill Rec Center</t>
  </si>
  <si>
    <t>V0036</t>
  </si>
  <si>
    <t>E0036</t>
  </si>
  <si>
    <t>Addison Conference Centre</t>
  </si>
  <si>
    <t>V2059</t>
  </si>
  <si>
    <t>E2060</t>
  </si>
  <si>
    <t>Audelia Road Branch Library</t>
  </si>
  <si>
    <t>V3408</t>
  </si>
  <si>
    <t>E3408</t>
  </si>
  <si>
    <t>Balch Springs Recreation Center</t>
  </si>
  <si>
    <t>V4629</t>
  </si>
  <si>
    <t>E4629</t>
  </si>
  <si>
    <t>Bear Creek Community Church</t>
  </si>
  <si>
    <t>V4502</t>
  </si>
  <si>
    <t>E4502</t>
  </si>
  <si>
    <t>Betty Warmack Library</t>
  </si>
  <si>
    <t>V2307</t>
  </si>
  <si>
    <t>E2307</t>
  </si>
  <si>
    <t>Brookhaven Campus-Dallas College</t>
  </si>
  <si>
    <t>V3072</t>
  </si>
  <si>
    <t>E3072</t>
  </si>
  <si>
    <t>Cedar Valley Campus-Dallas College</t>
  </si>
  <si>
    <t>V2805</t>
  </si>
  <si>
    <t>E2805</t>
  </si>
  <si>
    <t>Coppell Town Center</t>
  </si>
  <si>
    <t>V4514</t>
  </si>
  <si>
    <t>E4516</t>
  </si>
  <si>
    <t>Crosswinds High School</t>
  </si>
  <si>
    <t>V3605</t>
  </si>
  <si>
    <t>E3605</t>
  </si>
  <si>
    <t>Disciple Central Comm Church</t>
  </si>
  <si>
    <t>V3202</t>
  </si>
  <si>
    <t>E3202</t>
  </si>
  <si>
    <t>Duncanville Library</t>
  </si>
  <si>
    <t>V1303</t>
  </si>
  <si>
    <t>E1303</t>
  </si>
  <si>
    <t>Eastfield Campus-Dallas College</t>
  </si>
  <si>
    <t>V3007</t>
  </si>
  <si>
    <t>E3007</t>
  </si>
  <si>
    <t>El Centro Campus-Dallas College</t>
  </si>
  <si>
    <t>V0016</t>
  </si>
  <si>
    <t>E0004</t>
  </si>
  <si>
    <t>Elections Training / Warehouse</t>
  </si>
  <si>
    <t>V2305</t>
  </si>
  <si>
    <t>E2305</t>
  </si>
  <si>
    <t>Farmers Branch Manske Library</t>
  </si>
  <si>
    <t>V1301</t>
  </si>
  <si>
    <t>E1301</t>
  </si>
  <si>
    <t>Florence Recreation Center</t>
  </si>
  <si>
    <t>V0062</t>
  </si>
  <si>
    <t>E0023</t>
  </si>
  <si>
    <t>For Oak Cliff</t>
  </si>
  <si>
    <t>V2052</t>
  </si>
  <si>
    <t>E2052</t>
  </si>
  <si>
    <t>Fretz Park Library</t>
  </si>
  <si>
    <t>V3064</t>
  </si>
  <si>
    <t>E3064</t>
  </si>
  <si>
    <t>Friendship West Baptist Church</t>
  </si>
  <si>
    <t>V1708</t>
  </si>
  <si>
    <t>E1708</t>
  </si>
  <si>
    <t>Garland Center-Dallas College</t>
  </si>
  <si>
    <t>V3008</t>
  </si>
  <si>
    <t>E3008</t>
  </si>
  <si>
    <t>George L Allen Sr Court Building</t>
  </si>
  <si>
    <t>V0090</t>
  </si>
  <si>
    <t>E0048</t>
  </si>
  <si>
    <t>Glenn Heights Community Center</t>
  </si>
  <si>
    <t>V4086</t>
  </si>
  <si>
    <t>E4086</t>
  </si>
  <si>
    <t>Grauwyler Park Recreation Center</t>
  </si>
  <si>
    <t>V1003</t>
  </si>
  <si>
    <t>E0047</t>
  </si>
  <si>
    <t>Hamilton Park UMC</t>
  </si>
  <si>
    <t>V1058</t>
  </si>
  <si>
    <t>E1116</t>
  </si>
  <si>
    <t>Harry Stone Recreation Center</t>
  </si>
  <si>
    <t>V3073</t>
  </si>
  <si>
    <t>E3073</t>
  </si>
  <si>
    <t>Highland Hills Library</t>
  </si>
  <si>
    <t>V3951</t>
  </si>
  <si>
    <t>E3950</t>
  </si>
  <si>
    <t>Hutchins City Hall</t>
  </si>
  <si>
    <t>V4642</t>
  </si>
  <si>
    <t>E4642</t>
  </si>
  <si>
    <t>Irving Arts Center</t>
  </si>
  <si>
    <t>V4607</t>
  </si>
  <si>
    <t>E4607</t>
  </si>
  <si>
    <t>Irving City Hall</t>
  </si>
  <si>
    <t>V0038</t>
  </si>
  <si>
    <t>E0021</t>
  </si>
  <si>
    <t>Islamic Association of North Texas</t>
  </si>
  <si>
    <t>V4082</t>
  </si>
  <si>
    <t>E4081</t>
  </si>
  <si>
    <t>Jaycee Zaragoza Recreation Center</t>
  </si>
  <si>
    <t>V2407</t>
  </si>
  <si>
    <t>E2407</t>
  </si>
  <si>
    <t>Josey Ranch Lake Library</t>
  </si>
  <si>
    <t>V4057</t>
  </si>
  <si>
    <t>E0025</t>
  </si>
  <si>
    <t>Kiest Recreation Center</t>
  </si>
  <si>
    <t>V3309</t>
  </si>
  <si>
    <t>E3309</t>
  </si>
  <si>
    <t>Lakeside Activity Center</t>
  </si>
  <si>
    <t>V3809</t>
  </si>
  <si>
    <t>E3809</t>
  </si>
  <si>
    <t>Lancaster Veterans Memorial Library</t>
  </si>
  <si>
    <t>V1052</t>
  </si>
  <si>
    <t>E1052</t>
  </si>
  <si>
    <t>Lochwood Branch Library</t>
  </si>
  <si>
    <t>V0085</t>
  </si>
  <si>
    <t>E0042</t>
  </si>
  <si>
    <t>Madinah Masjid of Carrollton</t>
  </si>
  <si>
    <t>V0082</t>
  </si>
  <si>
    <t>E0041</t>
  </si>
  <si>
    <t>Makkah Masjid (IDEA)</t>
  </si>
  <si>
    <t>V2005</t>
  </si>
  <si>
    <t>E2005</t>
  </si>
  <si>
    <t>Marsh Lane Baptist Church</t>
  </si>
  <si>
    <t>V4064</t>
  </si>
  <si>
    <t>E4064</t>
  </si>
  <si>
    <t>Martin Weiss Recreation Center</t>
  </si>
  <si>
    <t>V0083</t>
  </si>
  <si>
    <t>E0043</t>
  </si>
  <si>
    <t>Ministerios Charisma</t>
  </si>
  <si>
    <t>V0051</t>
  </si>
  <si>
    <t>E0029</t>
  </si>
  <si>
    <t>MLK Jr Branch Library</t>
  </si>
  <si>
    <t>V4050</t>
  </si>
  <si>
    <t>E4050</t>
  </si>
  <si>
    <t>Mountain Creek Library</t>
  </si>
  <si>
    <t>V4113</t>
  </si>
  <si>
    <t>E4113</t>
  </si>
  <si>
    <t>Mountain View Campus-Dallas College</t>
  </si>
  <si>
    <t>V2704</t>
  </si>
  <si>
    <t>E0024</t>
  </si>
  <si>
    <t>North Garland Branch Library</t>
  </si>
  <si>
    <t>V4633</t>
  </si>
  <si>
    <t>E4633</t>
  </si>
  <si>
    <t>North Lake Campus-Dallas College</t>
  </si>
  <si>
    <t>V4071</t>
  </si>
  <si>
    <t>E4071</t>
  </si>
  <si>
    <t>Oak Cliff Government Center</t>
  </si>
  <si>
    <t>V0086</t>
  </si>
  <si>
    <t>E0045</t>
  </si>
  <si>
    <t>Oak Gardens Church</t>
  </si>
  <si>
    <t>V1022</t>
  </si>
  <si>
    <t>E1022</t>
  </si>
  <si>
    <t>Oak Lawn Branch Library</t>
  </si>
  <si>
    <t>V4528</t>
  </si>
  <si>
    <t>E4528</t>
  </si>
  <si>
    <t>Our Redeemer Lutheran Church-GP</t>
  </si>
  <si>
    <t>V3043</t>
  </si>
  <si>
    <t>E3043</t>
  </si>
  <si>
    <t>Paul L Dunbar Library</t>
  </si>
  <si>
    <t>V1096</t>
  </si>
  <si>
    <t>E1096</t>
  </si>
  <si>
    <t>Pleasant Grove Ctr-Dallas College</t>
  </si>
  <si>
    <t>V1029</t>
  </si>
  <si>
    <t>E1029</t>
  </si>
  <si>
    <t>Richland Campus-Dallas College</t>
  </si>
  <si>
    <t>V0079</t>
  </si>
  <si>
    <t>E0038</t>
  </si>
  <si>
    <t>Royal Lane Baptist Church</t>
  </si>
  <si>
    <t>V2941</t>
  </si>
  <si>
    <t>E2941</t>
  </si>
  <si>
    <t>Sachse City Hall</t>
  </si>
  <si>
    <t>V1074</t>
  </si>
  <si>
    <t>E1074</t>
  </si>
  <si>
    <t>Samuell Grand Recreation Center</t>
  </si>
  <si>
    <t>V3921</t>
  </si>
  <si>
    <t>E3921</t>
  </si>
  <si>
    <t>Seagoville City Hall</t>
  </si>
  <si>
    <t>V1088</t>
  </si>
  <si>
    <t>E1088</t>
  </si>
  <si>
    <t>Skyline Branch Library</t>
  </si>
  <si>
    <t>V1723</t>
  </si>
  <si>
    <t>E1723</t>
  </si>
  <si>
    <t>South Garland Branch Library</t>
  </si>
  <si>
    <t>N</t>
  </si>
  <si>
    <t>N/A</t>
  </si>
  <si>
    <t>E0046</t>
  </si>
  <si>
    <t>St Paul's Church</t>
  </si>
  <si>
    <t>V3500</t>
  </si>
  <si>
    <t>E3500</t>
  </si>
  <si>
    <t>Sunnyvale Town Hall</t>
  </si>
  <si>
    <t>V0061</t>
  </si>
  <si>
    <t>E4514</t>
  </si>
  <si>
    <t>The Summit</t>
  </si>
  <si>
    <t>V2220</t>
  </si>
  <si>
    <t>E2220</t>
  </si>
  <si>
    <t>University Park UMC</t>
  </si>
  <si>
    <t>V2604</t>
  </si>
  <si>
    <t>V0014</t>
  </si>
  <si>
    <t>E0022</t>
  </si>
  <si>
    <t>Vietnamese Community Center</t>
  </si>
  <si>
    <t>V4029</t>
  </si>
  <si>
    <t>E4029</t>
  </si>
  <si>
    <t>West Dallas Center-Dallas College</t>
  </si>
  <si>
    <t>V3940</t>
  </si>
  <si>
    <t>E3940</t>
  </si>
  <si>
    <t>Wilmer Community Center</t>
  </si>
  <si>
    <t>70 sites</t>
  </si>
  <si>
    <t>EV Poll Code</t>
  </si>
  <si>
    <t>Regional Site</t>
  </si>
  <si>
    <r>
      <t>Projected Turnout</t>
    </r>
    <r>
      <rPr>
        <sz val="8"/>
        <color theme="1"/>
        <rFont val="Calibri"/>
        <family val="2"/>
        <scheme val="minor"/>
      </rPr>
      <t xml:space="preserve"> (INTERNAL USE ONLY)</t>
    </r>
  </si>
  <si>
    <t>Old EPB Allocation</t>
  </si>
  <si>
    <t>★ New EPB Allocation</t>
  </si>
  <si>
    <t>★ Curbside (Cart) Voting Machine</t>
  </si>
  <si>
    <t>★ Curbside (Rollie) Voting Machine</t>
  </si>
  <si>
    <t>★ Clerks</t>
  </si>
  <si>
    <t>★ Alt Judge</t>
  </si>
  <si>
    <t>★ Judge</t>
  </si>
  <si>
    <t>Total # of Workers (incld. Judge(s), Alt Judge, and Clerks)</t>
  </si>
  <si>
    <t>RS01 - Brookhaven Campus - Dallas College</t>
  </si>
  <si>
    <t>V0021</t>
  </si>
  <si>
    <t>Campbell Green Recreation Center</t>
  </si>
  <si>
    <t>V0022</t>
  </si>
  <si>
    <t>Janie Stark Elementary School</t>
  </si>
  <si>
    <t>V2002</t>
  </si>
  <si>
    <t>Thomas C Marsh Preparatory Academy</t>
  </si>
  <si>
    <t>V2003</t>
  </si>
  <si>
    <t>W T White High School</t>
  </si>
  <si>
    <t>V2004</t>
  </si>
  <si>
    <t>Nathan Adams Elementary School</t>
  </si>
  <si>
    <t>V2006</t>
  </si>
  <si>
    <t>Harry C Withers Elementary Sch</t>
  </si>
  <si>
    <t>V2042</t>
  </si>
  <si>
    <t>Parkhill Junior High School</t>
  </si>
  <si>
    <t>V2050</t>
  </si>
  <si>
    <t>Prestonwood Elementary School</t>
  </si>
  <si>
    <t>V2056</t>
  </si>
  <si>
    <t>King of Glory Lutheran Church</t>
  </si>
  <si>
    <t>V2077</t>
  </si>
  <si>
    <t>E D Walker Middle School</t>
  </si>
  <si>
    <t>V2079</t>
  </si>
  <si>
    <t>Anne Frank Elementary School</t>
  </si>
  <si>
    <t>V2301</t>
  </si>
  <si>
    <t>Alfred J Loos Field House</t>
  </si>
  <si>
    <t>V2302</t>
  </si>
  <si>
    <t>Vivian Field Middle School</t>
  </si>
  <si>
    <t>V2306</t>
  </si>
  <si>
    <t>Chapel Hill Preparatory School</t>
  </si>
  <si>
    <t>V2401</t>
  </si>
  <si>
    <t>Ted Polk Middle School</t>
  </si>
  <si>
    <t>V2402</t>
  </si>
  <si>
    <t>McCoy Elementary School</t>
  </si>
  <si>
    <t>V2403</t>
  </si>
  <si>
    <t>Jerry R Junkins Elementary Sch</t>
  </si>
  <si>
    <t>V2404</t>
  </si>
  <si>
    <t>Blanton Elementary School</t>
  </si>
  <si>
    <t>V2406</t>
  </si>
  <si>
    <t>Keller Springs Baptist Church</t>
  </si>
  <si>
    <t>V2408</t>
  </si>
  <si>
    <t>Crosby Recreation Center</t>
  </si>
  <si>
    <t>V2602</t>
  </si>
  <si>
    <t>Cimarron Park Recreation Center</t>
  </si>
  <si>
    <t>V2603</t>
  </si>
  <si>
    <t>Freeman Elementary School</t>
  </si>
  <si>
    <t>V2802</t>
  </si>
  <si>
    <t>Wilson Elementary School</t>
  </si>
  <si>
    <t>V2803</t>
  </si>
  <si>
    <t>Mockingbird Elementary School-CISD</t>
  </si>
  <si>
    <t>V2807</t>
  </si>
  <si>
    <t>Lakeside Elementary School</t>
  </si>
  <si>
    <t>V2808</t>
  </si>
  <si>
    <t>Cottonwood Creek Elem School</t>
  </si>
  <si>
    <t>V2809</t>
  </si>
  <si>
    <t>Riverchase Elementary School</t>
  </si>
  <si>
    <t>V4004</t>
  </si>
  <si>
    <t>Marcus Recreation Center</t>
  </si>
  <si>
    <t>V4006</t>
  </si>
  <si>
    <t>Degolyer Elementary School</t>
  </si>
  <si>
    <t>V4094</t>
  </si>
  <si>
    <t>Park Forest Branch Library</t>
  </si>
  <si>
    <t>RS02 - Elections Training / Warehouse</t>
  </si>
  <si>
    <t>V0030</t>
  </si>
  <si>
    <t>Woodhaven Presbyterian Church</t>
  </si>
  <si>
    <t>V0035</t>
  </si>
  <si>
    <t>Albert Farine Elementary School</t>
  </si>
  <si>
    <t>V0049</t>
  </si>
  <si>
    <t>La Villita Elementary School</t>
  </si>
  <si>
    <t>V0066</t>
  </si>
  <si>
    <t>Pilgrim Rest Missionary Baptist Ch</t>
  </si>
  <si>
    <t>V0067</t>
  </si>
  <si>
    <t>Thomas Jefferson High School</t>
  </si>
  <si>
    <t>V0071</t>
  </si>
  <si>
    <t>The Chapel of the Cross</t>
  </si>
  <si>
    <t>V1013</t>
  </si>
  <si>
    <t>North Dallas High School</t>
  </si>
  <si>
    <t>V1015</t>
  </si>
  <si>
    <t>Multiple Careers Magnet Center</t>
  </si>
  <si>
    <t>V1019</t>
  </si>
  <si>
    <t>Solar Preparatory School for Girls</t>
  </si>
  <si>
    <t>V1020</t>
  </si>
  <si>
    <t>Ben Milam Elementary School</t>
  </si>
  <si>
    <t>V1070</t>
  </si>
  <si>
    <t>Grace United Methodist Church</t>
  </si>
  <si>
    <t>V1071</t>
  </si>
  <si>
    <t>Lakewood Branch Library</t>
  </si>
  <si>
    <t>V1118</t>
  </si>
  <si>
    <t>Ignite Middle School</t>
  </si>
  <si>
    <t>V1120</t>
  </si>
  <si>
    <t>Solar Preparatory School for Boys</t>
  </si>
  <si>
    <t>V2009</t>
  </si>
  <si>
    <t>L G Cigarroa Elementary School</t>
  </si>
  <si>
    <t>V2011</t>
  </si>
  <si>
    <t>Walnut Hill Recreation Center</t>
  </si>
  <si>
    <t>V2013</t>
  </si>
  <si>
    <t>Lovers Lane UMC</t>
  </si>
  <si>
    <t>V2029</t>
  </si>
  <si>
    <t>Westminster Presbyterian Church</t>
  </si>
  <si>
    <t>V2034</t>
  </si>
  <si>
    <t>Henry W Longfellow - CEA</t>
  </si>
  <si>
    <t>V2203</t>
  </si>
  <si>
    <t>John S Armstrong Elem School</t>
  </si>
  <si>
    <t>V2221</t>
  </si>
  <si>
    <t>John S Bradfield Elem School</t>
  </si>
  <si>
    <t>V2223</t>
  </si>
  <si>
    <t>University Park Elem School</t>
  </si>
  <si>
    <t>V2224</t>
  </si>
  <si>
    <t>Highland Park Middle School</t>
  </si>
  <si>
    <t>V2225</t>
  </si>
  <si>
    <t>SMU/Hughes-Triggs Student Center</t>
  </si>
  <si>
    <t>V2226</t>
  </si>
  <si>
    <t>Highland Park ISD Admin Bldg</t>
  </si>
  <si>
    <t>V3000</t>
  </si>
  <si>
    <t>William B Travis Vanguard Acad</t>
  </si>
  <si>
    <t>V3009</t>
  </si>
  <si>
    <t>Exall Park Recreation Center</t>
  </si>
  <si>
    <t>V3012</t>
  </si>
  <si>
    <t>Life in Deep Ellum Community Center</t>
  </si>
  <si>
    <t>V3081</t>
  </si>
  <si>
    <t>Booker T Washington High School</t>
  </si>
  <si>
    <t>V3090</t>
  </si>
  <si>
    <t>J Erik Jonsson Central Library</t>
  </si>
  <si>
    <t>V4002</t>
  </si>
  <si>
    <t>F P Caillet Elem School</t>
  </si>
  <si>
    <t>V4010</t>
  </si>
  <si>
    <t>Stephen Foster Elementary School</t>
  </si>
  <si>
    <t>V4014</t>
  </si>
  <si>
    <t>Sudie L Williams TAG Academy</t>
  </si>
  <si>
    <t>V4016</t>
  </si>
  <si>
    <t>K B Polk Vanguard Center ATG</t>
  </si>
  <si>
    <t>V4018</t>
  </si>
  <si>
    <t>Maple Lawn Elementary School</t>
  </si>
  <si>
    <t>V4019</t>
  </si>
  <si>
    <t>Arlington Park Recreation Center</t>
  </si>
  <si>
    <t>V4022</t>
  </si>
  <si>
    <t>Esperanza Medrano Elementary Sch</t>
  </si>
  <si>
    <t>V4028</t>
  </si>
  <si>
    <t>Victory Cathedral</t>
  </si>
  <si>
    <t>V4031</t>
  </si>
  <si>
    <t>C F Carr Elementary School</t>
  </si>
  <si>
    <t>V4032</t>
  </si>
  <si>
    <t>Reverchon Recreation Center</t>
  </si>
  <si>
    <t>V4073</t>
  </si>
  <si>
    <t>Preparing the Way Ministries</t>
  </si>
  <si>
    <t>V4076</t>
  </si>
  <si>
    <t>Stevens Park Elem School</t>
  </si>
  <si>
    <t>V4081</t>
  </si>
  <si>
    <t>Eladio Martinez Learning Center</t>
  </si>
  <si>
    <t>V4083</t>
  </si>
  <si>
    <t>J Moroles Expressive Arts Vanguard</t>
  </si>
  <si>
    <t>V4085</t>
  </si>
  <si>
    <t>Anita Martinez Recreation Center</t>
  </si>
  <si>
    <t>V4087</t>
  </si>
  <si>
    <t>Bachman Recreation Center</t>
  </si>
  <si>
    <t>V4097</t>
  </si>
  <si>
    <t>David G Burnet Elem School</t>
  </si>
  <si>
    <t>V4613</t>
  </si>
  <si>
    <t>Irving High School</t>
  </si>
  <si>
    <t>V4616</t>
  </si>
  <si>
    <t>John R Good Elementary School</t>
  </si>
  <si>
    <t>V4620</t>
  </si>
  <si>
    <t>Oak Haven United Methodist Church</t>
  </si>
  <si>
    <t>V4624</t>
  </si>
  <si>
    <t>Brandenburg Elementary School</t>
  </si>
  <si>
    <t>V4626</t>
  </si>
  <si>
    <t>Macarthur High School</t>
  </si>
  <si>
    <t>V4627</t>
  </si>
  <si>
    <t>Irving Fire Station #8</t>
  </si>
  <si>
    <t>V4630</t>
  </si>
  <si>
    <t>T J Lee Elementary School</t>
  </si>
  <si>
    <t>V4631</t>
  </si>
  <si>
    <t>Travis Middle School</t>
  </si>
  <si>
    <t>V4634</t>
  </si>
  <si>
    <t>Jack E Singley Academy</t>
  </si>
  <si>
    <t>V4645</t>
  </si>
  <si>
    <t>Las Colinas Elementary School</t>
  </si>
  <si>
    <t>V4646</t>
  </si>
  <si>
    <t>Cardwell Career Preparatory Ctr</t>
  </si>
  <si>
    <t>V4647</t>
  </si>
  <si>
    <t>Mustang Park Recreation Center</t>
  </si>
  <si>
    <t>RS04 - Lakeside Activity Center</t>
  </si>
  <si>
    <t>V0003</t>
  </si>
  <si>
    <t>Evans Recreation Center</t>
  </si>
  <si>
    <t>V0020</t>
  </si>
  <si>
    <t>Central Elementary School-DISD</t>
  </si>
  <si>
    <t>V0054</t>
  </si>
  <si>
    <t>Antioch Worship Center</t>
  </si>
  <si>
    <t>V0064</t>
  </si>
  <si>
    <t>Trinity Love Church</t>
  </si>
  <si>
    <t>V0065</t>
  </si>
  <si>
    <t>Mt Zion MBC of Sandbranch</t>
  </si>
  <si>
    <t>V1078</t>
  </si>
  <si>
    <t>Bayles Elementary School</t>
  </si>
  <si>
    <t>V1079</t>
  </si>
  <si>
    <t>S S Conner Elementary School</t>
  </si>
  <si>
    <t>V1081</t>
  </si>
  <si>
    <t>Owenwood Farm &amp; Neighbor Space</t>
  </si>
  <si>
    <t>V1083</t>
  </si>
  <si>
    <t>Colonial Baptist Church</t>
  </si>
  <si>
    <t>V1084</t>
  </si>
  <si>
    <t>Edna Rowe Elementary School</t>
  </si>
  <si>
    <t>V1085</t>
  </si>
  <si>
    <t>Urban Park Elementary School</t>
  </si>
  <si>
    <t>V1087</t>
  </si>
  <si>
    <t>Skyline High School</t>
  </si>
  <si>
    <t>V1090</t>
  </si>
  <si>
    <t>San Jacinto Elementary School</t>
  </si>
  <si>
    <t>V1091</t>
  </si>
  <si>
    <t>Annie Webb Blanton Elem School</t>
  </si>
  <si>
    <t>V1092</t>
  </si>
  <si>
    <t>Edward Titche Elementary School</t>
  </si>
  <si>
    <t>V1095</t>
  </si>
  <si>
    <t>Nathaniel Hawthorne Elem School</t>
  </si>
  <si>
    <t>V1097</t>
  </si>
  <si>
    <t>W W Samuell High School</t>
  </si>
  <si>
    <t>V1098</t>
  </si>
  <si>
    <t>Young Men's Leadership Academy</t>
  </si>
  <si>
    <t>V1104</t>
  </si>
  <si>
    <t>William Anderson Elem School</t>
  </si>
  <si>
    <t>V1107</t>
  </si>
  <si>
    <t>Richard Lagow Elementary School</t>
  </si>
  <si>
    <t>V1108</t>
  </si>
  <si>
    <t>H Grady Spruce High School</t>
  </si>
  <si>
    <t>V1109</t>
  </si>
  <si>
    <t>Fireside Recreation Center</t>
  </si>
  <si>
    <t>V1134</t>
  </si>
  <si>
    <t>Herschel Forester Field House</t>
  </si>
  <si>
    <t>V1311</t>
  </si>
  <si>
    <t>JC Rugel Elementary School</t>
  </si>
  <si>
    <t>V1312</t>
  </si>
  <si>
    <t>Galloway Elementary School</t>
  </si>
  <si>
    <t>V1314</t>
  </si>
  <si>
    <t>West Mesquite High School</t>
  </si>
  <si>
    <t>V3080</t>
  </si>
  <si>
    <t>Kleberg-Rylie Recreation Center</t>
  </si>
  <si>
    <t>V3083</t>
  </si>
  <si>
    <t>Ebby Halliday Elementary School</t>
  </si>
  <si>
    <t>V3307</t>
  </si>
  <si>
    <t>W L Wilkinson Middle School</t>
  </si>
  <si>
    <t>V3308</t>
  </si>
  <si>
    <t>Mesquite Convention Center</t>
  </si>
  <si>
    <t>V3310</t>
  </si>
  <si>
    <t>Mesquite High School</t>
  </si>
  <si>
    <t>V3312</t>
  </si>
  <si>
    <t>Pirrung Elementary School</t>
  </si>
  <si>
    <t>V3313</t>
  </si>
  <si>
    <t>J R Thompson Elementary School</t>
  </si>
  <si>
    <t>V3314</t>
  </si>
  <si>
    <t>A C New Middle School</t>
  </si>
  <si>
    <t>V3315</t>
  </si>
  <si>
    <t>Tisinger Elementary School</t>
  </si>
  <si>
    <t>V3316</t>
  </si>
  <si>
    <t>Rutherford Recreation Center</t>
  </si>
  <si>
    <t>V3317</t>
  </si>
  <si>
    <t>Horn High School</t>
  </si>
  <si>
    <t>V3403</t>
  </si>
  <si>
    <t>Floyd Elementary School</t>
  </si>
  <si>
    <t>V3405</t>
  </si>
  <si>
    <t>Hodges Elem Sch</t>
  </si>
  <si>
    <t>RS05 - Road and Bridge District 1</t>
  </si>
  <si>
    <t>V0027</t>
  </si>
  <si>
    <t>First UMC of Sachse</t>
  </si>
  <si>
    <t>V0032</t>
  </si>
  <si>
    <t>Larry G Smith Elementary School</t>
  </si>
  <si>
    <t>V0034</t>
  </si>
  <si>
    <t>Stephens Elementary School</t>
  </si>
  <si>
    <t>V1056</t>
  </si>
  <si>
    <t>Charles A Gill Elementary School</t>
  </si>
  <si>
    <t>V1057</t>
  </si>
  <si>
    <t>St Pius X Catholic Church Parish</t>
  </si>
  <si>
    <t>V1061</t>
  </si>
  <si>
    <t>W H Gaston Middle School</t>
  </si>
  <si>
    <t>V1063</t>
  </si>
  <si>
    <t>George Truett Elementary School</t>
  </si>
  <si>
    <t>V1121</t>
  </si>
  <si>
    <t>Living Waters Church of God</t>
  </si>
  <si>
    <t>V1300</t>
  </si>
  <si>
    <t>Vanston Middle School</t>
  </si>
  <si>
    <t>V1302</t>
  </si>
  <si>
    <t>Vernon Price Elementary School</t>
  </si>
  <si>
    <t>V1304</t>
  </si>
  <si>
    <t>Goodbar Recreation Center</t>
  </si>
  <si>
    <t>V1305</t>
  </si>
  <si>
    <t>Motley Elementary School</t>
  </si>
  <si>
    <t>V1308</t>
  </si>
  <si>
    <t>Range Elementary School</t>
  </si>
  <si>
    <t>V1310</t>
  </si>
  <si>
    <t>Tosch Elementary School</t>
  </si>
  <si>
    <t>V1700</t>
  </si>
  <si>
    <t>Bradfield Recreation Center</t>
  </si>
  <si>
    <t>V1709</t>
  </si>
  <si>
    <t>Austin Academy</t>
  </si>
  <si>
    <t>V1710</t>
  </si>
  <si>
    <t>Kimberlin Academy</t>
  </si>
  <si>
    <t>V1713</t>
  </si>
  <si>
    <t>Memorial Pathway Academy</t>
  </si>
  <si>
    <t>V1715</t>
  </si>
  <si>
    <t>Watson Technology Center</t>
  </si>
  <si>
    <t>V1716</t>
  </si>
  <si>
    <t>South Garland High School</t>
  </si>
  <si>
    <t>V1717</t>
  </si>
  <si>
    <t>Classical Ctr at Brandenburg MS</t>
  </si>
  <si>
    <t>V1718</t>
  </si>
  <si>
    <t>Southgate Elementary School</t>
  </si>
  <si>
    <t>V1719</t>
  </si>
  <si>
    <t>Montclair Elementary School</t>
  </si>
  <si>
    <t>V1720</t>
  </si>
  <si>
    <t>O'Banion Middle School</t>
  </si>
  <si>
    <t>V1722</t>
  </si>
  <si>
    <t>Classical Ctr at Vial Elem Sch</t>
  </si>
  <si>
    <t>V1726</t>
  </si>
  <si>
    <t>Routh Roach Elementary School</t>
  </si>
  <si>
    <t>V2710</t>
  </si>
  <si>
    <t>Lister Elementary School</t>
  </si>
  <si>
    <t>V2712</t>
  </si>
  <si>
    <t>Northlake Elementary School</t>
  </si>
  <si>
    <t>V2713</t>
  </si>
  <si>
    <t>Club Hill Elementary School</t>
  </si>
  <si>
    <t>V2714</t>
  </si>
  <si>
    <t>Lyles Middle School</t>
  </si>
  <si>
    <t>V2921</t>
  </si>
  <si>
    <t>Back Elementary School</t>
  </si>
  <si>
    <t>V2922</t>
  </si>
  <si>
    <t>Liberty Grove Elementary School</t>
  </si>
  <si>
    <t>V2925</t>
  </si>
  <si>
    <t>Rowlett Elementary School</t>
  </si>
  <si>
    <t>V2926</t>
  </si>
  <si>
    <t>Herfurth Elementary School</t>
  </si>
  <si>
    <t>V2927</t>
  </si>
  <si>
    <t>Schrade Middle School</t>
  </si>
  <si>
    <t>V2942</t>
  </si>
  <si>
    <t>B G Hudson Middle School</t>
  </si>
  <si>
    <t>V3300</t>
  </si>
  <si>
    <t>Porter Elementary School</t>
  </si>
  <si>
    <t>V3301</t>
  </si>
  <si>
    <t>Dunford Recreation Center</t>
  </si>
  <si>
    <t>V3302</t>
  </si>
  <si>
    <t>Georgia Kimball Elementary Sch</t>
  </si>
  <si>
    <t>V3303</t>
  </si>
  <si>
    <t>Dr JC Cannady Elementary School</t>
  </si>
  <si>
    <t>V3304</t>
  </si>
  <si>
    <t>Poteet High School</t>
  </si>
  <si>
    <t>V3700</t>
  </si>
  <si>
    <t>Couch Elementary School</t>
  </si>
  <si>
    <t>V3702</t>
  </si>
  <si>
    <t>Toler Elementary School</t>
  </si>
  <si>
    <t>RS06 - Oak Cliff Government Center</t>
  </si>
  <si>
    <t>V0012</t>
  </si>
  <si>
    <t>Rosemont Elem School - Lower Campus</t>
  </si>
  <si>
    <t>V0050</t>
  </si>
  <si>
    <t>Salem Institutional Baptist Church</t>
  </si>
  <si>
    <t>V0053</t>
  </si>
  <si>
    <t>Jubilee Park and Community Center</t>
  </si>
  <si>
    <t>V1060</t>
  </si>
  <si>
    <t>Alex Sanger Preparatory School</t>
  </si>
  <si>
    <t>V1073</t>
  </si>
  <si>
    <t>Junius Heights Church</t>
  </si>
  <si>
    <t>V1076</t>
  </si>
  <si>
    <t>Eduardo Mata Montessori School</t>
  </si>
  <si>
    <t>V1119</t>
  </si>
  <si>
    <t>St Luke Community Church</t>
  </si>
  <si>
    <t>V3003</t>
  </si>
  <si>
    <t>T W Browne Middle School</t>
  </si>
  <si>
    <t>V3004</t>
  </si>
  <si>
    <t>Daniel Webster Elementary School</t>
  </si>
  <si>
    <t>V3016</t>
  </si>
  <si>
    <t>Bill J Priest Ctr-Dallas College</t>
  </si>
  <si>
    <t>V3017</t>
  </si>
  <si>
    <t>Dr MLK Jr Arts Academy</t>
  </si>
  <si>
    <t>V3022</t>
  </si>
  <si>
    <t>Irma Rangel Women's School</t>
  </si>
  <si>
    <t>V3025</t>
  </si>
  <si>
    <t>Mt Horeb Missionary Baptist Chur</t>
  </si>
  <si>
    <t>V3026</t>
  </si>
  <si>
    <t>St Paul Baptist Church</t>
  </si>
  <si>
    <t>V3029</t>
  </si>
  <si>
    <t>Evangelist Temple Church</t>
  </si>
  <si>
    <t>V3032</t>
  </si>
  <si>
    <t>Hector P Garcia Middle Sch - DISD</t>
  </si>
  <si>
    <t>V3034</t>
  </si>
  <si>
    <t>Greater Mt Pleasant Baptist Chur</t>
  </si>
  <si>
    <t>V3035</t>
  </si>
  <si>
    <t>F D Roosevelt HS of Innovation</t>
  </si>
  <si>
    <t>V3046</t>
  </si>
  <si>
    <t>John W Carpenter Elem School</t>
  </si>
  <si>
    <t>V3092</t>
  </si>
  <si>
    <t>Thurgood Marshall Recreation Ctr</t>
  </si>
  <si>
    <t>V4035</t>
  </si>
  <si>
    <t>Margaret B Henderson Elem School</t>
  </si>
  <si>
    <t>V4043</t>
  </si>
  <si>
    <t>The Union Church</t>
  </si>
  <si>
    <t>V4055</t>
  </si>
  <si>
    <t>Leslie Stemmons Elementary Sch</t>
  </si>
  <si>
    <t>V4056</t>
  </si>
  <si>
    <t>Palabra De Vida Church</t>
  </si>
  <si>
    <t>V4061</t>
  </si>
  <si>
    <t>L O Donald Elementary School</t>
  </si>
  <si>
    <t>V4062</t>
  </si>
  <si>
    <t>Leila P Cowart Elementary School</t>
  </si>
  <si>
    <t>V4063</t>
  </si>
  <si>
    <t>Elmwood-El Buen Samaritano UMC</t>
  </si>
  <si>
    <t>V4066</t>
  </si>
  <si>
    <t>Anson Jones Elementary School</t>
  </si>
  <si>
    <t>V4068</t>
  </si>
  <si>
    <t>Lida Hooe Elementary School</t>
  </si>
  <si>
    <t>V4069</t>
  </si>
  <si>
    <t>Winnetka Elementary School</t>
  </si>
  <si>
    <t>V4070</t>
  </si>
  <si>
    <t>John Peeler Elementary School</t>
  </si>
  <si>
    <t>V4074</t>
  </si>
  <si>
    <t>Sunset High School - Annex Bldg</t>
  </si>
  <si>
    <t>V4078</t>
  </si>
  <si>
    <t>Kidd Springs Recreation Center</t>
  </si>
  <si>
    <t>V4079</t>
  </si>
  <si>
    <t>Kessler Park UMC</t>
  </si>
  <si>
    <t>V4300</t>
  </si>
  <si>
    <t>Cockrell Hill City Hall</t>
  </si>
  <si>
    <t>RS07 - Grand Prairie Government Center</t>
  </si>
  <si>
    <t>V0026</t>
  </si>
  <si>
    <t>The Woods United Methodist Church</t>
  </si>
  <si>
    <t>V0039</t>
  </si>
  <si>
    <t>West Irving Library</t>
  </si>
  <si>
    <t>V0047</t>
  </si>
  <si>
    <t>Moisés E Molina High School</t>
  </si>
  <si>
    <t>V0055</t>
  </si>
  <si>
    <t>Rocky Springs Missionary Baptist Ch</t>
  </si>
  <si>
    <t>V0081</t>
  </si>
  <si>
    <t>BAPS Shri Swaminarayan Mandir</t>
  </si>
  <si>
    <t>V0089</t>
  </si>
  <si>
    <t>Bowie Middle School</t>
  </si>
  <si>
    <t>V4060</t>
  </si>
  <si>
    <t>Nancy Jane Cochran Elem Sch</t>
  </si>
  <si>
    <t>V4065</t>
  </si>
  <si>
    <t>Arcadia Park Elementary School</t>
  </si>
  <si>
    <t>V4501</t>
  </si>
  <si>
    <t>Suzanna Dickinson Elem School</t>
  </si>
  <si>
    <t>V4507</t>
  </si>
  <si>
    <t>Daniels Elementary Academy</t>
  </si>
  <si>
    <t>V4508</t>
  </si>
  <si>
    <t>Ellen Ochoa Stem Acad Milam Elem</t>
  </si>
  <si>
    <t>V4509</t>
  </si>
  <si>
    <t>Young Women's Ldrshp Acad-Arnold</t>
  </si>
  <si>
    <t>V4511</t>
  </si>
  <si>
    <t>Bowie Fine Arts</t>
  </si>
  <si>
    <t>V4512</t>
  </si>
  <si>
    <t>Charley Taylor Recreation Center</t>
  </si>
  <si>
    <t>V4513</t>
  </si>
  <si>
    <t>Grand Prairie Collegiate Institute</t>
  </si>
  <si>
    <t>V4515</t>
  </si>
  <si>
    <t>William B Travis World Lang Academy</t>
  </si>
  <si>
    <t>V4517</t>
  </si>
  <si>
    <t>Eisenhower Elementary School</t>
  </si>
  <si>
    <t>V4519</t>
  </si>
  <si>
    <t>Ronald Reagan Middle School</t>
  </si>
  <si>
    <t>V4520</t>
  </si>
  <si>
    <t>Sam Rayburn Elementary School</t>
  </si>
  <si>
    <t>V4521</t>
  </si>
  <si>
    <t>Lorenzo De Zavala Academy</t>
  </si>
  <si>
    <t>V4522</t>
  </si>
  <si>
    <t>Truman Middle School</t>
  </si>
  <si>
    <t>V4525</t>
  </si>
  <si>
    <t>L B Johnson Daep</t>
  </si>
  <si>
    <t>V4527</t>
  </si>
  <si>
    <t>Hector P Garcia Elementary Sch - GP</t>
  </si>
  <si>
    <t>V4538</t>
  </si>
  <si>
    <t>Global Leadership Academy</t>
  </si>
  <si>
    <t>V4602</t>
  </si>
  <si>
    <t>Nimitz High School</t>
  </si>
  <si>
    <t>V4605</t>
  </si>
  <si>
    <t>Otis Brown Elementary School</t>
  </si>
  <si>
    <t>V4606</t>
  </si>
  <si>
    <t>Lamar Middle School</t>
  </si>
  <si>
    <t>V4608</t>
  </si>
  <si>
    <t>J O Davis Elementary School</t>
  </si>
  <si>
    <t>V4610</t>
  </si>
  <si>
    <t>L B Barton Elementary School</t>
  </si>
  <si>
    <t>V4618</t>
  </si>
  <si>
    <t>David Crockett Middle School</t>
  </si>
  <si>
    <t>V4619</t>
  </si>
  <si>
    <t>Lively Elementary School</t>
  </si>
  <si>
    <t>V4621</t>
  </si>
  <si>
    <t>Thomas Haley Elementary School</t>
  </si>
  <si>
    <t>V4622</t>
  </si>
  <si>
    <t>W T Hanes Elementary School</t>
  </si>
  <si>
    <t>V4623</t>
  </si>
  <si>
    <t>A S Johnston Elementary School</t>
  </si>
  <si>
    <t>V4640</t>
  </si>
  <si>
    <t>Houston Middle School</t>
  </si>
  <si>
    <t>V4654</t>
  </si>
  <si>
    <t>Irving Fire Station #2</t>
  </si>
  <si>
    <t>RS09 - South Dallas Government Center</t>
  </si>
  <si>
    <t>V0040</t>
  </si>
  <si>
    <t>Desoto House of Peace &amp; Comm Center</t>
  </si>
  <si>
    <t>V0041</t>
  </si>
  <si>
    <t>Frank D Moates Elementary School</t>
  </si>
  <si>
    <t>V0044</t>
  </si>
  <si>
    <t>Cedar Hill Collegiate High School</t>
  </si>
  <si>
    <t>V0063</t>
  </si>
  <si>
    <t>Katherine Johnson Tech Magnet Acad</t>
  </si>
  <si>
    <t>V3054</t>
  </si>
  <si>
    <t>Jdg Louis A Bedford, Jr Law Academy</t>
  </si>
  <si>
    <t>V3055</t>
  </si>
  <si>
    <t>Adelle Turner Elementary School</t>
  </si>
  <si>
    <t>V3056</t>
  </si>
  <si>
    <t>Mark Twain Leadership Vanguard</t>
  </si>
  <si>
    <t>V3057</t>
  </si>
  <si>
    <t>T G Terry Elementary School</t>
  </si>
  <si>
    <t>V3063</t>
  </si>
  <si>
    <t>Ronald E McNair Elementary Sch</t>
  </si>
  <si>
    <t>V3065</t>
  </si>
  <si>
    <t>Umphrey Lee Elementary School</t>
  </si>
  <si>
    <t>V3066</t>
  </si>
  <si>
    <t>Martin Weiss Elementary School</t>
  </si>
  <si>
    <t>V3078</t>
  </si>
  <si>
    <t>Park in the Woods Recreation Ctr</t>
  </si>
  <si>
    <t>V3097</t>
  </si>
  <si>
    <t>University of North Texas-Dallas</t>
  </si>
  <si>
    <t>V3102</t>
  </si>
  <si>
    <t>L Kim Lewis Auxiliary Services Ctr</t>
  </si>
  <si>
    <t>V3103</t>
  </si>
  <si>
    <t>Bessie Coleman Middle School</t>
  </si>
  <si>
    <t>V3104</t>
  </si>
  <si>
    <t>Maddox Teaching &amp; Learning Center</t>
  </si>
  <si>
    <t>V3106</t>
  </si>
  <si>
    <t>Plummer Elementary School</t>
  </si>
  <si>
    <t>V3107</t>
  </si>
  <si>
    <t>Highlands Elementary School</t>
  </si>
  <si>
    <t>V3109</t>
  </si>
  <si>
    <t>Lake Ridge Elementary School</t>
  </si>
  <si>
    <t>V3200</t>
  </si>
  <si>
    <t>H Bob Daniel SR Intermediate Sch</t>
  </si>
  <si>
    <t>V3201</t>
  </si>
  <si>
    <t>Alexander Elementary School</t>
  </si>
  <si>
    <t>V3203</t>
  </si>
  <si>
    <t>Duncanville's First Baptist Chur</t>
  </si>
  <si>
    <t>V3204</t>
  </si>
  <si>
    <t>Reed Middle School</t>
  </si>
  <si>
    <t>V3205</t>
  </si>
  <si>
    <t>Brandenburg Intermediate School</t>
  </si>
  <si>
    <t>V3206</t>
  </si>
  <si>
    <t>Byrd Middle School</t>
  </si>
  <si>
    <t>V3207</t>
  </si>
  <si>
    <t>Arise Church</t>
  </si>
  <si>
    <t>V3208</t>
  </si>
  <si>
    <t>Central Elementary School-DUISD</t>
  </si>
  <si>
    <t>V3209</t>
  </si>
  <si>
    <t>Duncanville High School</t>
  </si>
  <si>
    <t>V3211</t>
  </si>
  <si>
    <t>Fairmeadows Elementary School</t>
  </si>
  <si>
    <t>V3601</t>
  </si>
  <si>
    <t>Faith Bible Church</t>
  </si>
  <si>
    <t>V3604</t>
  </si>
  <si>
    <t>Ruby Young Elementary School</t>
  </si>
  <si>
    <t>V3606</t>
  </si>
  <si>
    <t>The Meadows Elementary School</t>
  </si>
  <si>
    <t>V3607</t>
  </si>
  <si>
    <t>Cockrell Hill Elementary School</t>
  </si>
  <si>
    <t>V3609</t>
  </si>
  <si>
    <t>Desoto High School</t>
  </si>
  <si>
    <t>V3611</t>
  </si>
  <si>
    <t>Desoto East Middle School</t>
  </si>
  <si>
    <t>V3800</t>
  </si>
  <si>
    <t>Houston Elementary School-LISD</t>
  </si>
  <si>
    <t>V3803</t>
  </si>
  <si>
    <t>Rolling Hills Elementary School</t>
  </si>
  <si>
    <t>V3805</t>
  </si>
  <si>
    <t>Rosa Parks Millbrook Elem School</t>
  </si>
  <si>
    <t>V3807</t>
  </si>
  <si>
    <t>Elsie Robertson Middle School</t>
  </si>
  <si>
    <t>V3808</t>
  </si>
  <si>
    <t>West Main Elementary School</t>
  </si>
  <si>
    <t>V3900</t>
  </si>
  <si>
    <t>McCowan Middle School</t>
  </si>
  <si>
    <t>V4052</t>
  </si>
  <si>
    <t>Bilhartz Elementary School</t>
  </si>
  <si>
    <t>RS10 - Paul L Dunbar Library</t>
  </si>
  <si>
    <t>V1094</t>
  </si>
  <si>
    <t>S Mendez Crew Leadership Acad</t>
  </si>
  <si>
    <t>V1100</t>
  </si>
  <si>
    <t>E B Comstock Middle School</t>
  </si>
  <si>
    <t>V1101</t>
  </si>
  <si>
    <t>Pleasant Grove Branch Library</t>
  </si>
  <si>
    <t>V1102</t>
  </si>
  <si>
    <t>B H Macon Elementary School</t>
  </si>
  <si>
    <t>V3038</t>
  </si>
  <si>
    <t>The Way-Truth-Life Christian Ch</t>
  </si>
  <si>
    <t>V3040</t>
  </si>
  <si>
    <t>Good Street Baptist Church</t>
  </si>
  <si>
    <t>V3042</t>
  </si>
  <si>
    <t>John Neely Bryan Elem School</t>
  </si>
  <si>
    <t>V3045</t>
  </si>
  <si>
    <t>Gethsemane Missionary Baptist Ch</t>
  </si>
  <si>
    <t>V3047</t>
  </si>
  <si>
    <t>CFNI Student Center</t>
  </si>
  <si>
    <t>V3048</t>
  </si>
  <si>
    <t>South Oak Cliff High School</t>
  </si>
  <si>
    <t>V3049</t>
  </si>
  <si>
    <t>Clara Oliver Elementary School</t>
  </si>
  <si>
    <t>V3050</t>
  </si>
  <si>
    <t>H I Holland Elem School @ Lisbon</t>
  </si>
  <si>
    <t>V3051</t>
  </si>
  <si>
    <t>Fountain of Living Word Church</t>
  </si>
  <si>
    <t>V3052</t>
  </si>
  <si>
    <t>Elisha M Pease Elementary School</t>
  </si>
  <si>
    <t>V3058</t>
  </si>
  <si>
    <t>St Paul Lutheran Church</t>
  </si>
  <si>
    <t>V3059</t>
  </si>
  <si>
    <t>Ideal Family Church</t>
  </si>
  <si>
    <t>V3060</t>
  </si>
  <si>
    <t>Otto M Fridia Elementary School</t>
  </si>
  <si>
    <t>V3061</t>
  </si>
  <si>
    <t>Barack Obama Male Leadership Acad</t>
  </si>
  <si>
    <t>V3062</t>
  </si>
  <si>
    <t>J N Ervin Elementary School</t>
  </si>
  <si>
    <t>V3068</t>
  </si>
  <si>
    <t>Singing Hills Recreation Center</t>
  </si>
  <si>
    <t>V3069</t>
  </si>
  <si>
    <t>Cornerstone Temple Church</t>
  </si>
  <si>
    <t>V3070</t>
  </si>
  <si>
    <t>Tommie Allen Recreation Center</t>
  </si>
  <si>
    <t>V3071</t>
  </si>
  <si>
    <t>Highland Hills UMC</t>
  </si>
  <si>
    <t>V3075</t>
  </si>
  <si>
    <t>Wilmer-Hutchins High School</t>
  </si>
  <si>
    <t>V3082</t>
  </si>
  <si>
    <t>W A Blair Elementary School</t>
  </si>
  <si>
    <t>V3802</t>
  </si>
  <si>
    <t>Pleasant Run Elementary School</t>
  </si>
  <si>
    <t>V4038</t>
  </si>
  <si>
    <t>Harrell Budd Elementary School</t>
  </si>
  <si>
    <t>V4046</t>
  </si>
  <si>
    <t>Clinton P Russell Elementary Sch</t>
  </si>
  <si>
    <t>V4110</t>
  </si>
  <si>
    <t>Boude Storey Middle School</t>
  </si>
  <si>
    <t>RS14 - Northway Christian Church</t>
  </si>
  <si>
    <t>V0005</t>
  </si>
  <si>
    <t>Churchill Recreation Center</t>
  </si>
  <si>
    <t>V0019</t>
  </si>
  <si>
    <t>Mockingbird Elementary School-DISD</t>
  </si>
  <si>
    <t>V1001</t>
  </si>
  <si>
    <t>Sam Tasby M S</t>
  </si>
  <si>
    <t>V1004</t>
  </si>
  <si>
    <t>Forest Meadow Junior High School</t>
  </si>
  <si>
    <t>V1005</t>
  </si>
  <si>
    <t>New Mount Zion Baptist Church</t>
  </si>
  <si>
    <t>V1006</t>
  </si>
  <si>
    <t>Moss Haven Elementary School</t>
  </si>
  <si>
    <t>V1008</t>
  </si>
  <si>
    <t>Lee McShan Jr Elem School</t>
  </si>
  <si>
    <t>V1023</t>
  </si>
  <si>
    <t>The Father's Church</t>
  </si>
  <si>
    <t>V1040</t>
  </si>
  <si>
    <t>Thurgood Marshall Elementary School</t>
  </si>
  <si>
    <t>V1043</t>
  </si>
  <si>
    <t>Skyview Elementary School</t>
  </si>
  <si>
    <t>V1045</t>
  </si>
  <si>
    <t>PLA @ Highland Meadows</t>
  </si>
  <si>
    <t>V1047</t>
  </si>
  <si>
    <t>Martha T Reilly Elementary Sch</t>
  </si>
  <si>
    <t>V1049</t>
  </si>
  <si>
    <t>Merriman Park Elementary School</t>
  </si>
  <si>
    <t>V1054</t>
  </si>
  <si>
    <t>Casa View Elementary School</t>
  </si>
  <si>
    <t>V1059</t>
  </si>
  <si>
    <t>Reinhardt Elementary School</t>
  </si>
  <si>
    <t>V1128</t>
  </si>
  <si>
    <t>Lake Highlands High School</t>
  </si>
  <si>
    <t>V2008</t>
  </si>
  <si>
    <t>John J Pershing Elementary Sch</t>
  </si>
  <si>
    <t>V2016</t>
  </si>
  <si>
    <t>Unity Church of Dallas</t>
  </si>
  <si>
    <t>V2018</t>
  </si>
  <si>
    <t>Northaven United Methodist Church</t>
  </si>
  <si>
    <t>V2020</t>
  </si>
  <si>
    <t>Arthur Kramer Elementary School</t>
  </si>
  <si>
    <t>V2023</t>
  </si>
  <si>
    <t>Benjamin Franklin - IEA</t>
  </si>
  <si>
    <t>V2061</t>
  </si>
  <si>
    <t>Lake Highlands Elementary School</t>
  </si>
  <si>
    <t>V2064</t>
  </si>
  <si>
    <t>Robert T Hill Middle School</t>
  </si>
  <si>
    <t>V2065</t>
  </si>
  <si>
    <t>Victor Hexter Elementary School</t>
  </si>
  <si>
    <t>V2067</t>
  </si>
  <si>
    <t>L L Hotchkiss Elementary School</t>
  </si>
  <si>
    <t>V2068</t>
  </si>
  <si>
    <t>Dan D Rogers Elementary School</t>
  </si>
  <si>
    <t>V2069</t>
  </si>
  <si>
    <t>Ridgewood-Belcher Recreation Center</t>
  </si>
  <si>
    <t>V2071</t>
  </si>
  <si>
    <t>Lakewood Elementary School</t>
  </si>
  <si>
    <t>V2072</t>
  </si>
  <si>
    <t>Northridge Presbyterian Church</t>
  </si>
  <si>
    <t>RS15 - Ministerios Charisma</t>
  </si>
  <si>
    <t>V0018</t>
  </si>
  <si>
    <t>MAS Islamic Center of Dallas</t>
  </si>
  <si>
    <t>V0052</t>
  </si>
  <si>
    <t>Abbett Elementary School</t>
  </si>
  <si>
    <t>V1027</t>
  </si>
  <si>
    <t>Audelia Creek Elementary School</t>
  </si>
  <si>
    <t>V1030</t>
  </si>
  <si>
    <t>A M Aikin Elementary School</t>
  </si>
  <si>
    <t>V1032</t>
  </si>
  <si>
    <t>Northwood Hills Elementary Sch</t>
  </si>
  <si>
    <t>V1033</t>
  </si>
  <si>
    <t>Spring Valley Elementary School</t>
  </si>
  <si>
    <t>V1500</t>
  </si>
  <si>
    <t>Dover Elementary School</t>
  </si>
  <si>
    <t>V1501</t>
  </si>
  <si>
    <t>Professional Development Ctr</t>
  </si>
  <si>
    <t>V1503</t>
  </si>
  <si>
    <t>Richland Elementary School</t>
  </si>
  <si>
    <t>V1701</t>
  </si>
  <si>
    <t>Bussey Middle School</t>
  </si>
  <si>
    <t>V1703</t>
  </si>
  <si>
    <t>A R Davis Elementary School</t>
  </si>
  <si>
    <t>V1705</t>
  </si>
  <si>
    <t>O Henry Elementary School</t>
  </si>
  <si>
    <t>V1706</t>
  </si>
  <si>
    <t>Bradfield Elementary School</t>
  </si>
  <si>
    <t>V1711</t>
  </si>
  <si>
    <t>Granger Recreation Center</t>
  </si>
  <si>
    <t>V1712</t>
  </si>
  <si>
    <t>Williams Elementary School</t>
  </si>
  <si>
    <t>V1727</t>
  </si>
  <si>
    <t>Patty Granville Arts Center</t>
  </si>
  <si>
    <t>V1728</t>
  </si>
  <si>
    <t>Sam Houston Middle School</t>
  </si>
  <si>
    <t>V2041</t>
  </si>
  <si>
    <t>University of Texas - Dallas</t>
  </si>
  <si>
    <t>V2044</t>
  </si>
  <si>
    <t>Texas A&amp;M AgriLife Research</t>
  </si>
  <si>
    <t>V2047</t>
  </si>
  <si>
    <t>Bowie Elementary School-RISD</t>
  </si>
  <si>
    <t>V2051</t>
  </si>
  <si>
    <t>Spring Creek Elementary School</t>
  </si>
  <si>
    <t>V2500</t>
  </si>
  <si>
    <t>Greenwood Hills Elementary Sch</t>
  </si>
  <si>
    <t>V2501</t>
  </si>
  <si>
    <t>Canyon Creek Elementary School</t>
  </si>
  <si>
    <t>V2502</t>
  </si>
  <si>
    <t>Prairie Creek Elementary School</t>
  </si>
  <si>
    <t>V2503</t>
  </si>
  <si>
    <t>Mohawk Elementary School</t>
  </si>
  <si>
    <t>V2505</t>
  </si>
  <si>
    <t>Northrich Elementary School</t>
  </si>
  <si>
    <t>V2506</t>
  </si>
  <si>
    <t>Arapaho Classical Magnet School</t>
  </si>
  <si>
    <t>V2509</t>
  </si>
  <si>
    <t>Care Church</t>
  </si>
  <si>
    <t>V2510</t>
  </si>
  <si>
    <t>Yale Elementary School</t>
  </si>
  <si>
    <t>V2511</t>
  </si>
  <si>
    <t>Dartmouth Elementary School</t>
  </si>
  <si>
    <t>V2513</t>
  </si>
  <si>
    <t>Springridge Elementary School</t>
  </si>
  <si>
    <t>V2514</t>
  </si>
  <si>
    <t>Jess Harben Elementary School</t>
  </si>
  <si>
    <t>V2700</t>
  </si>
  <si>
    <t>Big Springs Elementary School</t>
  </si>
  <si>
    <t>V2701</t>
  </si>
  <si>
    <t>Springpark Sports Club</t>
  </si>
  <si>
    <t>V2702</t>
  </si>
  <si>
    <t>Spring Creek Elem School - GISD</t>
  </si>
  <si>
    <t>V2705</t>
  </si>
  <si>
    <t>Hickman Elementary School</t>
  </si>
  <si>
    <t>V2706</t>
  </si>
  <si>
    <t>Wallace Ethridge Elementary Sch</t>
  </si>
  <si>
    <t>V2715</t>
  </si>
  <si>
    <t>Northside Baptist Church</t>
  </si>
  <si>
    <t>Old Clerk Allocation</t>
  </si>
  <si>
    <t>New Clerk Allocation</t>
  </si>
  <si>
    <t>Sorted by Poll Code &amp; Regional Site #</t>
  </si>
  <si>
    <t>Sorted Alphabetically by Vote Center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</si>
</sst>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1"/>
    </font>
    <font>
      <sz val="11"/>
      <color theme="1"/>
      <name val="Calibri"/>
      <family val="2"/>
      <charset val="1"/>
    </font>
    <font>
      <b/>
      <sz val="1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535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6700B4"/>
        <bgColor indexed="64"/>
      </patternFill>
    </fill>
    <fill>
      <patternFill patternType="solid">
        <fgColor rgb="FFC271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D9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ECDFF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theme="1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16">
    <xf numFmtId="0" fontId="0" fillId="0" borderId="0" xfId="0"/>
    <xf numFmtId="0" fontId="3" fillId="11" borderId="0" xfId="0" applyFont="1" applyFill="1" applyAlignment="1">
      <alignment horizontal="center" vertical="center"/>
    </xf>
    <xf numFmtId="22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12" borderId="0" xfId="0" applyFont="1" applyFill="1" applyAlignment="1">
      <alignment horizontal="center" vertical="center"/>
    </xf>
    <xf numFmtId="0" fontId="0" fillId="13" borderId="0" xfId="0" applyFont="1" applyFill="1" applyAlignment="1">
      <alignment horizontal="center" vertical="center"/>
    </xf>
    <xf numFmtId="0" fontId="0" fillId="14" borderId="0" xfId="0" applyFont="1" applyFill="1" applyAlignment="1">
      <alignment horizontal="center" vertical="center"/>
    </xf>
    <xf numFmtId="0" fontId="0" fillId="15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0" fontId="8" fillId="7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9" fillId="8" borderId="0" xfId="0" applyFont="1" applyFill="1" applyAlignment="1">
      <alignment horizontal="center" vertical="center" wrapText="1"/>
    </xf>
    <xf numFmtId="0" fontId="9" fillId="9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1" fontId="9" fillId="0" borderId="2" xfId="0" applyNumberFormat="1" applyFont="1" applyBorder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/>
    </xf>
    <xf numFmtId="0" fontId="7" fillId="0" borderId="0" xfId="0" applyFont="1"/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vertical="center"/>
    </xf>
    <xf numFmtId="1" fontId="9" fillId="0" borderId="2" xfId="0" applyNumberFormat="1" applyFont="1" applyFill="1" applyBorder="1" applyAlignment="1">
      <alignment horizontal="center" vertical="center"/>
    </xf>
    <xf numFmtId="3" fontId="9" fillId="0" borderId="2" xfId="0" applyNumberFormat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1" fontId="9" fillId="0" borderId="3" xfId="0" applyNumberFormat="1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2" fillId="4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center" vertical="center" wrapText="1"/>
    </xf>
    <xf numFmtId="0" fontId="7" fillId="3" borderId="0" xfId="0" applyFont="1" applyFill="1" applyAlignment="1" applyProtection="1">
      <alignment horizontal="center" vertical="center" wrapText="1"/>
    </xf>
    <xf numFmtId="0" fontId="8" fillId="6" borderId="0" xfId="0" applyFont="1" applyFill="1" applyAlignment="1" applyProtection="1">
      <alignment horizontal="center" vertical="center" wrapText="1"/>
    </xf>
    <xf numFmtId="0" fontId="8" fillId="7" borderId="0" xfId="0" applyFont="1" applyFill="1" applyAlignment="1" applyProtection="1">
      <alignment horizontal="center" vertical="center" wrapText="1"/>
    </xf>
    <xf numFmtId="0" fontId="9" fillId="3" borderId="0" xfId="0" applyFont="1" applyFill="1" applyAlignment="1" applyProtection="1">
      <alignment horizontal="center" vertical="center" wrapText="1"/>
    </xf>
    <xf numFmtId="0" fontId="9" fillId="4" borderId="0" xfId="0" applyFont="1" applyFill="1" applyAlignment="1" applyProtection="1">
      <alignment horizontal="center" vertical="center" wrapText="1"/>
    </xf>
    <xf numFmtId="0" fontId="9" fillId="8" borderId="0" xfId="0" applyFont="1" applyFill="1" applyAlignment="1" applyProtection="1">
      <alignment horizontal="center" vertical="center" wrapText="1"/>
    </xf>
    <xf numFmtId="0" fontId="9" fillId="9" borderId="0" xfId="0" applyFont="1" applyFill="1" applyAlignment="1" applyProtection="1">
      <alignment horizontal="center" vertical="center" wrapText="1"/>
    </xf>
    <xf numFmtId="0" fontId="9" fillId="5" borderId="0" xfId="0" applyFont="1" applyFill="1" applyAlignment="1" applyProtection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3" fontId="9" fillId="0" borderId="0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0" xfId="1" applyNumberFormat="1" applyFont="1" applyFill="1" applyBorder="1" applyAlignment="1">
      <alignment horizontal="center" vertical="center"/>
    </xf>
    <xf numFmtId="0" fontId="7" fillId="16" borderId="0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3" fontId="7" fillId="0" borderId="0" xfId="0" applyNumberFormat="1" applyFont="1" applyAlignment="1">
      <alignment horizontal="center" vertical="center"/>
    </xf>
    <xf numFmtId="0" fontId="12" fillId="4" borderId="0" xfId="0" applyFont="1" applyFill="1" applyAlignment="1" applyProtection="1">
      <alignment horizontal="center" vertical="center" wrapText="1"/>
    </xf>
    <xf numFmtId="22" fontId="0" fillId="0" borderId="0" xfId="0" applyNumberFormat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1" fontId="9" fillId="0" borderId="3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10" fillId="0" borderId="0" xfId="0" applyFont="1" applyBorder="1" applyAlignment="1">
      <alignment horizontal="left" vertical="center"/>
    </xf>
    <xf numFmtId="1" fontId="9" fillId="0" borderId="4" xfId="0" applyNumberFormat="1" applyFont="1" applyBorder="1" applyAlignment="1">
      <alignment horizontal="center" vertical="center"/>
    </xf>
    <xf numFmtId="0" fontId="9" fillId="0" borderId="0" xfId="0" applyNumberFormat="1" applyFont="1" applyBorder="1" applyAlignment="1">
      <alignment horizontal="center" vertical="center"/>
    </xf>
    <xf numFmtId="0" fontId="9" fillId="0" borderId="0" xfId="0" applyNumberFormat="1" applyFont="1" applyBorder="1" applyAlignment="1">
      <alignment horizontal="left" vertical="center"/>
    </xf>
    <xf numFmtId="0" fontId="7" fillId="0" borderId="0" xfId="0" applyNumberFormat="1" applyFont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0" fillId="0" borderId="0" xfId="0" applyNumberFormat="1" applyFont="1" applyFill="1" applyAlignment="1">
      <alignment vertical="center"/>
    </xf>
    <xf numFmtId="0" fontId="7" fillId="0" borderId="0" xfId="0" applyNumberFormat="1" applyFont="1" applyFill="1" applyAlignment="1">
      <alignment horizontal="center" vertical="center"/>
    </xf>
    <xf numFmtId="3" fontId="7" fillId="0" borderId="0" xfId="0" applyNumberFormat="1" applyFont="1" applyFill="1" applyAlignment="1">
      <alignment horizontal="center" vertical="center"/>
    </xf>
    <xf numFmtId="0" fontId="8" fillId="10" borderId="0" xfId="0" applyFont="1" applyFill="1" applyAlignment="1">
      <alignment horizontal="center" vertical="center" wrapText="1"/>
    </xf>
    <xf numFmtId="3" fontId="10" fillId="0" borderId="0" xfId="0" applyNumberFormat="1" applyFont="1" applyAlignment="1">
      <alignment horizontal="center" vertical="center"/>
    </xf>
    <xf numFmtId="3" fontId="10" fillId="0" borderId="0" xfId="0" applyNumberFormat="1" applyFont="1" applyBorder="1" applyAlignment="1">
      <alignment horizontal="center" vertical="center"/>
    </xf>
    <xf numFmtId="3" fontId="10" fillId="0" borderId="0" xfId="0" applyNumberFormat="1" applyFont="1" applyFill="1" applyBorder="1" applyAlignment="1">
      <alignment horizontal="center" vertical="center"/>
    </xf>
    <xf numFmtId="3" fontId="10" fillId="0" borderId="0" xfId="0" applyNumberFormat="1" applyFont="1" applyFill="1" applyAlignment="1">
      <alignment horizontal="center" vertical="center"/>
    </xf>
    <xf numFmtId="3" fontId="10" fillId="0" borderId="3" xfId="0" applyNumberFormat="1" applyFont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/>
    </xf>
    <xf numFmtId="0" fontId="17" fillId="0" borderId="5" xfId="0" applyFont="1" applyBorder="1"/>
    <xf numFmtId="0" fontId="16" fillId="0" borderId="5" xfId="0" applyFont="1" applyBorder="1"/>
    <xf numFmtId="0" fontId="16" fillId="0" borderId="6" xfId="0" applyFont="1" applyBorder="1"/>
    <xf numFmtId="0" fontId="17" fillId="0" borderId="7" xfId="0" applyFont="1" applyBorder="1"/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8" fillId="10" borderId="8" xfId="0" applyFont="1" applyFill="1" applyBorder="1" applyAlignment="1">
      <alignment horizontal="center" vertical="center" wrapText="1"/>
    </xf>
    <xf numFmtId="0" fontId="18" fillId="6" borderId="8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4" fillId="10" borderId="0" xfId="0" applyFont="1" applyFill="1" applyAlignment="1">
      <alignment horizontal="center" vertical="center"/>
    </xf>
    <xf numFmtId="0" fontId="19" fillId="10" borderId="0" xfId="0" applyFont="1" applyFill="1" applyAlignment="1">
      <alignment horizontal="center"/>
    </xf>
  </cellXfs>
  <cellStyles count="2">
    <cellStyle name="Normal" xfId="0" builtinId="0"/>
    <cellStyle name="Note" xfId="1" builtinId="10"/>
  </cellStyles>
  <dxfs count="10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" formatCode="0"/>
      <fill>
        <patternFill patternType="none">
          <fgColor theme="0" tint="-0.14999847407452621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" formatCode="0"/>
      <fill>
        <patternFill patternType="none">
          <fgColor theme="0" tint="-0.14999847407452621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theme="0" tint="-0.14999847407452621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/>
        <vertical/>
        <horizontal/>
      </border>
    </dxf>
    <dxf>
      <fill>
        <patternFill patternType="none"/>
      </fill>
    </dxf>
    <dxf>
      <border outline="0">
        <bottom style="thin">
          <color theme="1"/>
        </bottom>
      </border>
    </dxf>
    <dxf>
      <border outline="0">
        <top style="thin">
          <color theme="1"/>
        </top>
        <bottom style="thin">
          <color theme="1"/>
        </bottom>
      </border>
    </dxf>
    <dxf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" formatCode="0"/>
      <fill>
        <patternFill patternType="none">
          <fgColor theme="0" tint="-0.14999847407452621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" formatCode="0"/>
      <fill>
        <patternFill patternType="none">
          <fgColor theme="0" tint="-0.14999847407452621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theme="0" tint="-0.14999847407452621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/>
        <vertical/>
        <horizontal/>
      </border>
    </dxf>
    <dxf>
      <fill>
        <patternFill patternType="none"/>
      </fill>
    </dxf>
    <dxf>
      <border outline="0">
        <bottom style="thin">
          <color theme="1"/>
        </bottom>
      </border>
    </dxf>
    <dxf>
      <border outline="0">
        <top style="thin">
          <color theme="1"/>
        </top>
        <bottom style="thin">
          <color theme="1"/>
        </bottom>
      </border>
    </dxf>
    <dxf>
      <fill>
        <patternFill patternType="none"/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"/>
        <scheme val="none"/>
      </font>
      <alignment horizontal="center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"/>
        <scheme val="none"/>
      </font>
      <alignment horizontal="center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"/>
        <scheme val="none"/>
      </font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"/>
        <scheme val="none"/>
      </font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border outline="0"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"/>
        <scheme val="none"/>
      </font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alignment horizontal="left" vertical="center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indent="0" justifyLastLine="0" shrinkToFit="0" readingOrder="0"/>
    </dxf>
    <dxf>
      <font>
        <sz val="10"/>
      </font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sz val="10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z val="10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z val="10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z val="10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z val="10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z val="10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sz val="10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z val="10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sz val="10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z val="10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z val="10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z val="10"/>
      </font>
      <numFmt numFmtId="0" formatCode="General"/>
      <alignment horizontal="center" vertical="center" textRotation="0" wrapText="0" indent="0" justifyLastLine="0" shrinkToFit="0" readingOrder="0"/>
    </dxf>
    <dxf>
      <font>
        <sz val="10"/>
      </font>
      <numFmt numFmtId="0" formatCode="General"/>
      <alignment horizontal="center" vertical="center" textRotation="0" wrapText="0" indent="0" justifyLastLine="0" shrinkToFit="0" readingOrder="0"/>
    </dxf>
    <dxf>
      <font>
        <sz val="10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z val="10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z val="10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z val="10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z val="10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z val="10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z val="10"/>
        <color rgb="FF000000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z val="10"/>
      </font>
      <numFmt numFmtId="0" formatCode="General"/>
      <alignment horizontal="center" vertical="center" textRotation="0" wrapText="0" indent="0" justifyLastLine="0" shrinkToFit="0" readingOrder="0"/>
    </dxf>
    <dxf>
      <font>
        <sz val="10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z val="10"/>
      </font>
      <alignment vertical="center" textRotation="0" indent="0" justifyLastLine="0" shrinkToFit="0" readingOrder="0"/>
    </dxf>
    <dxf>
      <font>
        <sz val="10"/>
      </font>
      <alignment horizontal="center" vertical="center" textRotation="0" wrapText="1" indent="0" justifyLastLine="0" shrinkToFit="0" readingOrder="0"/>
      <protection locked="1" hidden="0"/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B9B9"/>
        </patternFill>
      </fill>
    </dxf>
    <dxf>
      <font>
        <color auto="1"/>
      </font>
      <fill>
        <patternFill>
          <bgColor rgb="FFFFB9B9"/>
        </patternFill>
      </fill>
    </dxf>
    <dxf>
      <font>
        <color rgb="FFFF0000"/>
      </font>
    </dxf>
    <dxf>
      <font>
        <color theme="1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color theme="1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color theme="1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color theme="1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color theme="1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color theme="1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color theme="0"/>
      </font>
      <fill>
        <patternFill patternType="solid">
          <fgColor indexed="64"/>
          <bgColor theme="1" tint="0.34998626667073579"/>
        </patternFill>
      </fill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E1E1"/>
      <color rgb="FFECDFF5"/>
      <color rgb="FFFF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Petra Laird" id="{C4E92262-390A-4DF3-9F1E-7AFB2165A1D7}" userId="S::Petra.Laird@dallascounty.org::097230ae-854c-4519-9a8b-e1c6c82150da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22F71C6-7EE2-4E3E-9965-36F4DE48FBF6}" name="Table3" displayName="Table3" ref="A2:E40" insertRowShift="1" totalsRowShown="0" headerRowDxfId="100" dataDxfId="99">
  <autoFilter ref="A2:E40" xr:uid="{722F71C6-7EE2-4E3E-9965-36F4DE48FBF6}"/>
  <tableColumns count="5">
    <tableColumn id="1" xr3:uid="{A8872289-EBA2-4AB4-869D-CB656C52DBD8}" name="Date Updated" dataDxfId="98"/>
    <tableColumn id="2" xr3:uid="{6F4052B7-4043-43E5-8215-83B015F4B600}" name="Poll Code" dataDxfId="97"/>
    <tableColumn id="3" xr3:uid="{A148A8F8-7FB9-4C05-AF5A-DB53F4022CF7}" name="Vote Center Name" dataDxfId="96"/>
    <tableColumn id="4" xr3:uid="{5F2E7266-1883-4F11-A0DB-6E4CC715BF5D}" name="Action" dataDxfId="95"/>
    <tableColumn id="5" xr3:uid="{140E907A-641C-43E2-BE2E-0DC26B8CB33C}" name="Notes" dataDxfId="94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46C8C99-D3BA-4CD1-9008-20982E560A3E}" name="EVProj5" displayName="EVProj5" ref="A2:AA73" totalsRowShown="0" headerRowDxfId="89" dataDxfId="88">
  <autoFilter ref="A2:AA73" xr:uid="{046C8C99-D3BA-4CD1-9008-20982E560A3E}"/>
  <sortState xmlns:xlrd2="http://schemas.microsoft.com/office/spreadsheetml/2017/richdata2" ref="A3:AA73">
    <sortCondition ref="D2:D73"/>
  </sortState>
  <tableColumns count="27">
    <tableColumn id="3" xr3:uid="{76A45D9D-DADC-42AB-A5DD-07B7513EA373}" name="Flip Site?" dataDxfId="87"/>
    <tableColumn id="7" xr3:uid="{91EBA3F9-A485-44AF-ABD6-21F750C16950}" name="ED Poll Code" dataDxfId="86"/>
    <tableColumn id="5" xr3:uid="{1FF984BB-AC06-45E6-AE5D-10C8D037F0A1}" name="Poll Code" dataDxfId="85"/>
    <tableColumn id="6" xr3:uid="{83C53DAE-3034-4E58-9F10-E0CC708B4DDA}" name="Vote Center Name" dataDxfId="84"/>
    <tableColumn id="36" xr3:uid="{D0388235-EE00-4E7D-B3C6-C06E56B6146E}" name="★ E-Pollbooks" dataDxfId="83" dataCellStyle="Normal"/>
    <tableColumn id="50" xr3:uid="{A5BBBF27-5F96-4DBF-9245-8BC556494DE4}" name="★ Hard Case Voting Machines" dataDxfId="82" dataCellStyle="Normal"/>
    <tableColumn id="42" xr3:uid="{C6237990-767E-4292-B402-DA88C3C67354}" name="★ Soft Case (ADA) Voting Machines" dataDxfId="81"/>
    <tableColumn id="4" xr3:uid="{F0F76C48-C75C-46F7-9155-FD61E0F69F83}" name="★ Curbside (Cart) Voting Machines" dataDxfId="80"/>
    <tableColumn id="11" xr3:uid="{E1C83C62-F651-49CD-A8CB-4CC2E31628C4}" name="★ Curbside (Rollie) Voting Machines" dataDxfId="79"/>
    <tableColumn id="43" xr3:uid="{334330B7-2CFF-4727-BED0-FACC9EBEAFEE}" name="Voting Machines (All Types)" dataDxfId="78">
      <calculatedColumnFormula>SUM(EVProj5[[#This Row],[★ Hard Case Voting Machines]:[★ Curbside (Rollie) Voting Machines]])</calculatedColumnFormula>
    </tableColumn>
    <tableColumn id="44" xr3:uid="{931D0D81-D46A-41D4-A6FE-8CC4CBC88494}" name="★ Vote Tabulator" dataDxfId="77"/>
    <tableColumn id="2" xr3:uid="{D951B642-A6AB-4768-B534-1AF437F61238}" name="★ AEO Clerks" dataDxfId="76"/>
    <tableColumn id="1" xr3:uid="{18BB37CA-7E6B-4DD3-9443-8087594EC497}" name="★ PEO Clerks" dataDxfId="75"/>
    <tableColumn id="53" xr3:uid="{EE3CD2CD-51DC-4C16-A5F4-88B842B10481}" name="★ AEO" dataDxfId="74"/>
    <tableColumn id="48" xr3:uid="{2DEF32BA-D7CA-45D2-80EE-1355FAA231E1}" name="★ PEO" dataDxfId="73"/>
    <tableColumn id="8" xr3:uid="{6BB32C94-C225-47EC-BF30-69E8529B11EF}" name="Total # of Workers (incld. PEO(s), AEO and Clerks)" dataDxfId="72"/>
    <tableColumn id="12" xr3:uid="{342F2E06-DEEA-4C73-A254-0CED9C4B395F}" name="Total # of Workers if Calculated Like ED (incld. PEO(s), AEO and Clerks)" dataDxfId="71"/>
    <tableColumn id="64" xr3:uid="{2F2362B0-BA86-4883-B499-25F658E72F79}" name="★ Ballot Cards" dataDxfId="70"/>
    <tableColumn id="65" xr3:uid="{C59B3128-ABBE-4FA9-A53C-29C9D8E5A9D2}" name="★ Ballot Card Pads" dataDxfId="69"/>
    <tableColumn id="9" xr3:uid="{FA3C5B06-F5C9-427E-9EFE-57D3B0C0461E}" name="Ballot Cards (max 10k)" dataDxfId="68">
      <calculatedColumnFormula>IF(EVProj5[[#This Row],[★ Ballot Cards]]&gt;10000,10000,EVProj5[[#This Row],[★ Ballot Cards]])</calculatedColumnFormula>
    </tableColumn>
    <tableColumn id="10" xr3:uid="{BCB4A434-823A-498B-955C-6213A85929FD}" name="Ballot Card Pads (max 10k)" dataDxfId="67">
      <calculatedColumnFormula>EVProj5[[#This Row],[Ballot Cards (max 10k)]]/250</calculatedColumnFormula>
    </tableColumn>
    <tableColumn id="68" xr3:uid="{19CBD2C0-6849-42C5-8FF4-8047F5C9DC78}" name="Tables Needed" dataDxfId="66">
      <calculatedColumnFormula>EVProj5[[#This Row],[★ E-Pollbooks]]+EVProj5[[#This Row],[★ Soft Case (ADA) Voting Machines]]</calculatedColumnFormula>
    </tableColumn>
    <tableColumn id="25" xr3:uid="{4CEE73CE-A0FC-4193-8E28-E4EE8C523F25}" name="Chairs Needed" dataDxfId="65">
      <calculatedColumnFormula>EVProj5[[#This Row],[Tables Needed]]</calculatedColumnFormula>
    </tableColumn>
    <tableColumn id="26" xr3:uid="{071C45F5-106E-47A4-9214-051FB8B87F55}" name="Tables Provided by the Vote Center" dataDxfId="64"/>
    <tableColumn id="27" xr3:uid="{53520D63-062A-4967-AD06-1D25240228FB}" name="Chairs Provided by the Vote Center" dataDxfId="63"/>
    <tableColumn id="70" xr3:uid="{4C8558D9-0444-4C0A-9CC6-DFDD7F534B74}" name="★ Tables to be Deployed by DCED" dataDxfId="62">
      <calculatedColumnFormula>IF(EVProj5[[#This Row],[Tables Needed]]-EVProj5[[#This Row],[Tables Provided by the Vote Center]]&lt;0,0,EVProj5[[#This Row],[Tables Needed]]-EVProj5[[#This Row],[Tables Provided by the Vote Center]])</calculatedColumnFormula>
    </tableColumn>
    <tableColumn id="28" xr3:uid="{D57AE0EE-9A4A-4A00-AC9C-CD595885844F}" name="★ Chairs to be Deployed by DCED" dataDxfId="61">
      <calculatedColumnFormula>IF(EVProj5[[#This Row],[Chairs Needed]]-EVProj5[[#This Row],[Chairs Provided by the Vote Center]]&lt;0,0,EVProj5[[#This Row],[Chairs Needed]]-EVProj5[[#This Row],[Chairs Provided by the Vote Center]])</calculatedColumnFormula>
    </tableColumn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10A8B95-2872-48C7-9E63-CF2018254EA8}" name="EDProj" displayName="EDProj" ref="A2:Z457" totalsRowShown="0" headerRowDxfId="57" dataDxfId="56">
  <autoFilter ref="A2:Z457" xr:uid="{431AF92A-D771-4F5F-B237-87D9EAAB9A37}"/>
  <sortState xmlns:xlrd2="http://schemas.microsoft.com/office/spreadsheetml/2017/richdata2" ref="A3:Z457">
    <sortCondition ref="C2:C457"/>
  </sortState>
  <tableColumns count="26">
    <tableColumn id="3" xr3:uid="{D5B0C7D2-FF85-4E6B-B528-848D9BE73BEE}" name="Flip Site?" dataDxfId="55"/>
    <tableColumn id="8" xr3:uid="{68521651-D847-475B-9343-68C246D017E9}" name="EV Poll Code" dataDxfId="54"/>
    <tableColumn id="1" xr3:uid="{7111B12D-5966-49FF-B982-EAAC1EFC67B3}" name="Regional Site" dataDxfId="53"/>
    <tableColumn id="5" xr3:uid="{02A089F1-FD4D-447E-8052-753DA4607966}" name="Poll Code" dataDxfId="52"/>
    <tableColumn id="6" xr3:uid="{F9C34BAB-4280-41E2-8F4D-7FB9530177DD}" name="Vote Center Name" dataDxfId="51"/>
    <tableColumn id="12" xr3:uid="{7E5F5578-1485-4CE3-BF42-803964F6B43D}" name="Projected Turnout (INTERNAL USE ONLY)" dataDxfId="50"/>
    <tableColumn id="36" xr3:uid="{875E0D09-DBA7-430A-949E-AA84A73E162A}" name="Old EPB Allocation" dataDxfId="49"/>
    <tableColumn id="11" xr3:uid="{DA86BED2-B098-45A1-B6E5-5F333E304A6C}" name="★ New EPB Allocation" dataDxfId="48"/>
    <tableColumn id="22" xr3:uid="{3E5C08E4-B468-4A22-9CB3-B4363D8BF163}" name="★ Hard Case Voting Machines" dataDxfId="47"/>
    <tableColumn id="42" xr3:uid="{748D7601-9FB9-4B46-AA3A-89F94C221DFB}" name="★ Soft Case (ADA) Voting Machines" dataDxfId="46"/>
    <tableColumn id="18" xr3:uid="{D61E61FE-EAC5-432B-93CF-98D656792F84}" name="★ Curbside (Cart) Voting Machine" dataDxfId="45"/>
    <tableColumn id="9" xr3:uid="{9F964DA7-E6C9-4408-AFEF-3DD99CA817FE}" name="★ Curbside (Rollie) Voting Machine" dataDxfId="44"/>
    <tableColumn id="43" xr3:uid="{4655C670-AA95-453B-BCB5-E1223C81506B}" name="Voting Machines (All Types)" dataDxfId="43">
      <calculatedColumnFormula>SUM(EDProj[[#This Row],[★ Hard Case Voting Machines]:[★ Curbside (Rollie) Voting Machine]])</calculatedColumnFormula>
    </tableColumn>
    <tableColumn id="44" xr3:uid="{E99D9472-EDD6-4A49-A7D3-D7E992CB5FAF}" name="★ Vote Tabulator" dataDxfId="42"/>
    <tableColumn id="49" xr3:uid="{1BCCBCE2-ECAF-4BA3-B339-45DBB90C548D}" name="★ Clerks" dataDxfId="41"/>
    <tableColumn id="4" xr3:uid="{F51C8C18-37D4-4EF9-A0BE-7256C58E5C49}" name="★ Alt Judge" dataDxfId="40"/>
    <tableColumn id="47" xr3:uid="{76B38EDB-65CD-4859-8CF0-13BC9A838271}" name="★ Judge" dataDxfId="39"/>
    <tableColumn id="48" xr3:uid="{4503D4FE-4DD6-448C-8284-1D882A9ACA4C}" name="Total # of Workers (incld. Judge(s), Alt Judge, and Clerks)" dataDxfId="38">
      <calculatedColumnFormula>EDProj[[#This Row],[★ Judge]]+EDProj[[#This Row],[★ Alt Judge]]+EDProj[[#This Row],[★ Clerks]]</calculatedColumnFormula>
    </tableColumn>
    <tableColumn id="32" xr3:uid="{A3CD1CD7-D0C6-462D-B591-3CE56F6FFEBE}" name="★ Ballot Cards" dataDxfId="37"/>
    <tableColumn id="34" xr3:uid="{32845D85-F14D-49D0-BABB-C2DD6859FA3A}" name="★ Ballot Card Pads" dataDxfId="36">
      <calculatedColumnFormula>EDProj[[#This Row],[★ Ballot Cards]]/250</calculatedColumnFormula>
    </tableColumn>
    <tableColumn id="68" xr3:uid="{15D23706-2EAE-40CA-A195-54CAF72A103B}" name="Tables Needed" dataDxfId="35">
      <calculatedColumnFormula>EDProj[[#This Row],[★ Soft Case (ADA) Voting Machines]]+EDProj[[#This Row],[Old EPB Allocation]]</calculatedColumnFormula>
    </tableColumn>
    <tableColumn id="69" xr3:uid="{32DFC2ED-39CE-4739-B681-F09122CE5D36}" name="Chairs Needed" dataDxfId="34" dataCellStyle="Normal">
      <calculatedColumnFormula>EDProj[[#This Row],[Tables Needed]]</calculatedColumnFormula>
    </tableColumn>
    <tableColumn id="70" xr3:uid="{40DB839A-E65B-4333-B529-5030BFB4D6AB}" name="Tables Provided by the Vote Center" dataDxfId="33"/>
    <tableColumn id="20" xr3:uid="{868246B6-4734-4A92-86FC-1E03B3004733}" name="Chairs Provided by the Vote Center" dataDxfId="32"/>
    <tableColumn id="21" xr3:uid="{89D2BCF3-52A0-4153-AC4B-0047C547F69F}" name="★ Tables to be Deployed by DCED" dataDxfId="31">
      <calculatedColumnFormula>ROUNDUP(IF(EDProj[[#This Row],[Tables Needed]]-EDProj[[#This Row],[Tables Provided by the Vote Center]]&lt;0,0,EDProj[[#This Row],[Tables Needed]]-EDProj[[#This Row],[Tables Provided by the Vote Center]]),0)</calculatedColumnFormula>
    </tableColumn>
    <tableColumn id="24" xr3:uid="{32076509-32EF-4B3F-9796-F85F17A3611B}" name="★ Chairs to be Deployed by DCED" dataDxfId="30">
      <calculatedColumnFormula>ROUNDUP(IF(EDProj[[#This Row],[Chairs Needed]]-EDProj[[#This Row],[Chairs Provided by the Vote Center]]&lt;0,0,EDProj[[#This Row],[Chairs Needed]]-EDProj[[#This Row],[Chairs Provided by the Vote Center]]),0)</calculatedColumnFormula>
    </tableColumn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2FFEFF3-2862-4037-BB1F-9802DF8EA4C1}" name="Table1" displayName="Table1" ref="A1:D18" totalsRowShown="0" headerRowDxfId="29" dataDxfId="28" headerRowBorderDxfId="26" tableBorderDxfId="27">
  <autoFilter ref="A1:D18" xr:uid="{82FFEFF3-2862-4037-BB1F-9802DF8EA4C1}"/>
  <sortState xmlns:xlrd2="http://schemas.microsoft.com/office/spreadsheetml/2017/richdata2" ref="A2:D18">
    <sortCondition ref="A1:A18"/>
  </sortState>
  <tableColumns count="4">
    <tableColumn id="1" xr3:uid="{76812E78-A6AC-4C92-83FB-2D92EBB535DF}" name="Poll Code" dataDxfId="25"/>
    <tableColumn id="2" xr3:uid="{B92D57FE-5B1E-42B1-8279-2185350BE8CD}" name="Vote Center Name" dataDxfId="24"/>
    <tableColumn id="3" xr3:uid="{01A35FDC-C506-4668-BD25-359004FB8DF7}" name="Old Clerk Allocation" dataDxfId="23"/>
    <tableColumn id="4" xr3:uid="{A35FC47F-D85D-42C8-A57E-6FC2122E9661}" name="New Clerk Allocation" dataDxfId="22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B4ABC0B-61B2-42AA-BE1C-806DEFF23053}" name="Table5" displayName="Table5" ref="A2:F54" totalsRowShown="0" dataDxfId="17" headerRowBorderDxfId="15" tableBorderDxfId="16">
  <autoFilter ref="A2:F54" xr:uid="{5B4ABC0B-61B2-42AA-BE1C-806DEFF23053}"/>
  <sortState xmlns:xlrd2="http://schemas.microsoft.com/office/spreadsheetml/2017/richdata2" ref="A3:F54">
    <sortCondition ref="A2:A54"/>
  </sortState>
  <tableColumns count="6">
    <tableColumn id="1" xr3:uid="{433F5B9C-8CCE-429B-98C1-F8C1174A5CD6}" name="Regional Site" dataDxfId="14"/>
    <tableColumn id="2" xr3:uid="{829B4682-EBC2-4409-A2CC-D7C3CAE4E1C6}" name="Poll Code" dataDxfId="13"/>
    <tableColumn id="3" xr3:uid="{3E5A0DFE-0580-4D4C-97F1-760879795C06}" name="Vote Center Name" dataDxfId="12"/>
    <tableColumn id="8" xr3:uid="{157DC958-B19A-43BA-933D-A8EC01D06DD6}" name="Projected Turnout (INTERNAL USE ONLY)" dataDxfId="11"/>
    <tableColumn id="5" xr3:uid="{2005F945-BC0E-41C5-82F8-4128112E2B5C}" name="Old EPB Allocation" dataDxfId="10"/>
    <tableColumn id="6" xr3:uid="{490A70D0-6CC9-41CB-AAC2-8F9220C9F8C8}" name="★ New EPB Allocation" dataDxfId="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3BAA0B4-E228-4AC0-AEF2-A28BF1ADE895}" name="Table57" displayName="Table57" ref="H2:M54" totalsRowShown="0" dataDxfId="8" headerRowBorderDxfId="6" tableBorderDxfId="7">
  <autoFilter ref="H2:M54" xr:uid="{C3BAA0B4-E228-4AC0-AEF2-A28BF1ADE895}"/>
  <sortState xmlns:xlrd2="http://schemas.microsoft.com/office/spreadsheetml/2017/richdata2" ref="H3:M54">
    <sortCondition ref="J2:J54"/>
  </sortState>
  <tableColumns count="6">
    <tableColumn id="1" xr3:uid="{6A3C8008-18C6-48BD-B682-F2A17EE6D05F}" name="Regional Site" dataDxfId="5"/>
    <tableColumn id="2" xr3:uid="{5E341001-69B9-4574-B757-A76EF3FDA2E0}" name="Poll Code" dataDxfId="4"/>
    <tableColumn id="3" xr3:uid="{D812A141-BA5E-4038-A337-E0A3D9C12F26}" name="Vote Center Name" dataDxfId="3"/>
    <tableColumn id="8" xr3:uid="{76B8C1A1-D1CF-4621-A066-9DBBEBD57293}" name="Projected Turnout (INTERNAL USE ONLY)" dataDxfId="2"/>
    <tableColumn id="5" xr3:uid="{FE0E5EED-2D92-4B8F-85D6-476BAD9877B0}" name="Old EPB Allocation" dataDxfId="1"/>
    <tableColumn id="6" xr3:uid="{C30254A2-31A5-452D-A87B-170F628B9E82}" name="★ New EPB Allocation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2" dT="2024-11-02T19:02:53.96" personId="{C4E92262-390A-4DF3-9F1E-7AFB2165A1D7}" id="{0BABC3AA-CBE7-4C81-A2A7-C9F212BA7DBA}">
    <text>*Not intended to accurately estimate turnout; used for planning purposes only and is restricted for INTERNAL USE ONLY*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D2" dT="2024-11-02T19:02:53.96" personId="{C4E92262-390A-4DF3-9F1E-7AFB2165A1D7}" id="{E674A84C-3CE1-4AB0-8EAD-7FAD383D303A}">
    <text>*Not intended to accurately estimate turnout; used for planning purposes only and is restricted for INTERNAL USE ONLY*</text>
  </threadedComment>
  <threadedComment ref="K2" dT="2024-11-02T19:02:53.96" personId="{C4E92262-390A-4DF3-9F1E-7AFB2165A1D7}" id="{70633ED8-5E8F-4D6D-AA0B-1DFF32BA4FCB}">
    <text>*Not intended to accurately estimate turnout; used for planning purposes only and is restricted for INTERNAL USE ONLY*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vmlDrawing" Target="../drawings/vmlDrawing2.vml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FCCD3-80FC-472A-A727-AF5C96E525A3}">
  <sheetPr codeName="Sheet1"/>
  <dimension ref="A1:E40"/>
  <sheetViews>
    <sheetView workbookViewId="0">
      <pane xSplit="3" ySplit="2" topLeftCell="E34" activePane="bottomRight" state="frozen"/>
      <selection pane="bottomRight" activeCell="E35" sqref="E35"/>
      <selection pane="bottomLeft"/>
      <selection pane="topRight"/>
    </sheetView>
  </sheetViews>
  <sheetFormatPr defaultColWidth="66.28515625" defaultRowHeight="14.45"/>
  <cols>
    <col min="1" max="1" width="18" bestFit="1" customWidth="1"/>
    <col min="2" max="2" width="14" bestFit="1" customWidth="1"/>
    <col min="3" max="3" width="32.42578125" bestFit="1" customWidth="1"/>
    <col min="4" max="4" width="19.42578125" bestFit="1" customWidth="1"/>
    <col min="5" max="5" width="97" bestFit="1" customWidth="1"/>
  </cols>
  <sheetData>
    <row r="1" spans="1:5" ht="25.9">
      <c r="A1" s="114" t="s">
        <v>0</v>
      </c>
      <c r="B1" s="114"/>
      <c r="C1" s="114"/>
      <c r="D1" s="114"/>
      <c r="E1" s="114"/>
    </row>
    <row r="2" spans="1: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>
      <c r="A3" s="2">
        <v>45544.534722222219</v>
      </c>
      <c r="B3" s="3" t="s">
        <v>6</v>
      </c>
      <c r="C3" s="5" t="s">
        <v>7</v>
      </c>
      <c r="D3" s="10" t="s">
        <v>8</v>
      </c>
      <c r="E3" s="81" t="s">
        <v>9</v>
      </c>
    </row>
    <row r="4" spans="1:5">
      <c r="A4" s="2">
        <v>45544.534722222219</v>
      </c>
      <c r="B4" s="3" t="s">
        <v>10</v>
      </c>
      <c r="C4" s="5" t="s">
        <v>7</v>
      </c>
      <c r="D4" s="10" t="s">
        <v>8</v>
      </c>
      <c r="E4" s="81" t="s">
        <v>11</v>
      </c>
    </row>
    <row r="5" spans="1:5">
      <c r="A5" s="2">
        <v>45544.631249999999</v>
      </c>
      <c r="B5" s="3" t="s">
        <v>12</v>
      </c>
      <c r="C5" s="6" t="s">
        <v>13</v>
      </c>
      <c r="D5" s="11" t="s">
        <v>14</v>
      </c>
      <c r="E5" s="81" t="s">
        <v>15</v>
      </c>
    </row>
    <row r="6" spans="1:5">
      <c r="A6" s="2">
        <v>45544.631249999999</v>
      </c>
      <c r="B6" s="4" t="s">
        <v>16</v>
      </c>
      <c r="C6" s="7" t="s">
        <v>13</v>
      </c>
      <c r="D6" s="11" t="s">
        <v>14</v>
      </c>
      <c r="E6" s="81" t="s">
        <v>15</v>
      </c>
    </row>
    <row r="7" spans="1:5">
      <c r="A7" s="2">
        <v>45544.631249999999</v>
      </c>
      <c r="B7" s="3" t="s">
        <v>17</v>
      </c>
      <c r="C7" s="6" t="s">
        <v>18</v>
      </c>
      <c r="D7" s="11" t="s">
        <v>14</v>
      </c>
      <c r="E7" s="81" t="s">
        <v>15</v>
      </c>
    </row>
    <row r="8" spans="1:5">
      <c r="A8" s="2">
        <v>45544.631249999999</v>
      </c>
      <c r="B8" s="3" t="s">
        <v>19</v>
      </c>
      <c r="C8" s="6" t="s">
        <v>18</v>
      </c>
      <c r="D8" s="11" t="s">
        <v>14</v>
      </c>
      <c r="E8" s="81" t="s">
        <v>15</v>
      </c>
    </row>
    <row r="9" spans="1:5">
      <c r="A9" s="2">
        <v>45545.593055555553</v>
      </c>
      <c r="B9" s="3" t="s">
        <v>20</v>
      </c>
      <c r="C9" s="5" t="s">
        <v>21</v>
      </c>
      <c r="D9" s="10" t="s">
        <v>8</v>
      </c>
      <c r="E9" s="81" t="s">
        <v>22</v>
      </c>
    </row>
    <row r="10" spans="1:5">
      <c r="A10" s="2">
        <v>45545.593055555553</v>
      </c>
      <c r="B10" s="3" t="s">
        <v>23</v>
      </c>
      <c r="C10" s="5" t="s">
        <v>21</v>
      </c>
      <c r="D10" s="10" t="s">
        <v>8</v>
      </c>
      <c r="E10" s="81" t="s">
        <v>24</v>
      </c>
    </row>
    <row r="11" spans="1:5">
      <c r="A11" s="2">
        <v>45547.4375</v>
      </c>
      <c r="B11" s="3" t="s">
        <v>23</v>
      </c>
      <c r="C11" s="5" t="s">
        <v>21</v>
      </c>
      <c r="D11" s="9" t="s">
        <v>25</v>
      </c>
      <c r="E11" s="81" t="s">
        <v>26</v>
      </c>
    </row>
    <row r="12" spans="1:5">
      <c r="A12" s="2">
        <v>45547.463194444441</v>
      </c>
      <c r="B12" s="3" t="s">
        <v>27</v>
      </c>
      <c r="C12" s="5" t="s">
        <v>28</v>
      </c>
      <c r="D12" s="8" t="s">
        <v>29</v>
      </c>
      <c r="E12" s="81" t="s">
        <v>30</v>
      </c>
    </row>
    <row r="13" spans="1:5">
      <c r="A13" s="2">
        <v>45547.463194444441</v>
      </c>
      <c r="B13" s="3" t="s">
        <v>31</v>
      </c>
      <c r="C13" s="5" t="s">
        <v>32</v>
      </c>
      <c r="D13" s="8" t="s">
        <v>29</v>
      </c>
      <c r="E13" s="81" t="s">
        <v>33</v>
      </c>
    </row>
    <row r="14" spans="1:5">
      <c r="A14" s="2">
        <v>45547.463194444441</v>
      </c>
      <c r="B14" s="3" t="s">
        <v>34</v>
      </c>
      <c r="C14" s="5" t="s">
        <v>35</v>
      </c>
      <c r="D14" s="8" t="s">
        <v>29</v>
      </c>
      <c r="E14" s="81" t="s">
        <v>36</v>
      </c>
    </row>
    <row r="15" spans="1:5">
      <c r="A15" s="2">
        <v>45547.463194444441</v>
      </c>
      <c r="B15" s="3" t="s">
        <v>37</v>
      </c>
      <c r="C15" s="5" t="s">
        <v>38</v>
      </c>
      <c r="D15" s="8" t="s">
        <v>29</v>
      </c>
      <c r="E15" s="81" t="s">
        <v>39</v>
      </c>
    </row>
    <row r="16" spans="1:5">
      <c r="A16" s="2">
        <v>45547.463194444441</v>
      </c>
      <c r="B16" s="3" t="s">
        <v>40</v>
      </c>
      <c r="C16" s="5" t="s">
        <v>41</v>
      </c>
      <c r="D16" s="8" t="s">
        <v>29</v>
      </c>
      <c r="E16" s="81" t="s">
        <v>42</v>
      </c>
    </row>
    <row r="17" spans="1:5">
      <c r="A17" s="2">
        <v>45547.463194444441</v>
      </c>
      <c r="B17" s="3" t="s">
        <v>43</v>
      </c>
      <c r="C17" s="5" t="s">
        <v>44</v>
      </c>
      <c r="D17" s="8" t="s">
        <v>29</v>
      </c>
      <c r="E17" s="81" t="s">
        <v>45</v>
      </c>
    </row>
    <row r="18" spans="1:5">
      <c r="A18" s="72">
        <v>45554.505555555559</v>
      </c>
      <c r="B18" s="3" t="s">
        <v>46</v>
      </c>
      <c r="C18" s="5" t="s">
        <v>46</v>
      </c>
      <c r="D18" s="3" t="s">
        <v>46</v>
      </c>
      <c r="E18" s="81" t="s">
        <v>47</v>
      </c>
    </row>
    <row r="19" spans="1:5">
      <c r="A19" s="2">
        <v>45554.505555555559</v>
      </c>
      <c r="B19" s="3" t="s">
        <v>46</v>
      </c>
      <c r="C19" s="5" t="s">
        <v>46</v>
      </c>
      <c r="D19" s="3" t="s">
        <v>46</v>
      </c>
      <c r="E19" s="81" t="s">
        <v>48</v>
      </c>
    </row>
    <row r="20" spans="1:5">
      <c r="A20" s="2">
        <v>45558.728472222225</v>
      </c>
      <c r="B20" s="3" t="s">
        <v>49</v>
      </c>
      <c r="C20" s="5" t="s">
        <v>50</v>
      </c>
      <c r="D20" s="11" t="s">
        <v>14</v>
      </c>
      <c r="E20" s="81" t="s">
        <v>51</v>
      </c>
    </row>
    <row r="21" spans="1:5">
      <c r="A21" s="2">
        <v>45558.728472222225</v>
      </c>
      <c r="B21" s="3" t="s">
        <v>52</v>
      </c>
      <c r="C21" s="5" t="s">
        <v>53</v>
      </c>
      <c r="D21" s="10" t="s">
        <v>8</v>
      </c>
      <c r="E21" s="81" t="s">
        <v>54</v>
      </c>
    </row>
    <row r="22" spans="1:5">
      <c r="A22" s="2">
        <v>45558.728472222225</v>
      </c>
      <c r="B22" s="3" t="s">
        <v>55</v>
      </c>
      <c r="C22" s="5" t="s">
        <v>53</v>
      </c>
      <c r="D22" s="10" t="s">
        <v>8</v>
      </c>
      <c r="E22" s="81" t="s">
        <v>56</v>
      </c>
    </row>
    <row r="23" spans="1:5" ht="28.9">
      <c r="A23" s="2">
        <v>45559.593055555553</v>
      </c>
      <c r="B23" s="3" t="s">
        <v>46</v>
      </c>
      <c r="C23" s="5" t="s">
        <v>46</v>
      </c>
      <c r="D23" s="3" t="s">
        <v>46</v>
      </c>
      <c r="E23" s="81" t="s">
        <v>57</v>
      </c>
    </row>
    <row r="24" spans="1:5">
      <c r="A24" s="2">
        <v>45560.623657175929</v>
      </c>
      <c r="B24" s="3" t="s">
        <v>58</v>
      </c>
      <c r="C24" s="5" t="s">
        <v>59</v>
      </c>
      <c r="D24" s="8" t="s">
        <v>29</v>
      </c>
      <c r="E24" s="81" t="s">
        <v>60</v>
      </c>
    </row>
    <row r="25" spans="1:5">
      <c r="A25" s="2">
        <v>45560.623657175929</v>
      </c>
      <c r="B25" s="3" t="s">
        <v>61</v>
      </c>
      <c r="C25" s="5" t="s">
        <v>62</v>
      </c>
      <c r="D25" s="8" t="s">
        <v>29</v>
      </c>
      <c r="E25" s="81" t="s">
        <v>63</v>
      </c>
    </row>
    <row r="26" spans="1:5">
      <c r="A26" s="2">
        <v>45560.636509490738</v>
      </c>
      <c r="B26" s="3" t="s">
        <v>64</v>
      </c>
      <c r="C26" s="5" t="s">
        <v>65</v>
      </c>
      <c r="D26" s="9" t="s">
        <v>25</v>
      </c>
      <c r="E26" s="81" t="s">
        <v>66</v>
      </c>
    </row>
    <row r="27" spans="1:5">
      <c r="A27" s="2">
        <v>45560.636509490738</v>
      </c>
      <c r="B27" s="3" t="s">
        <v>40</v>
      </c>
      <c r="C27" s="5" t="s">
        <v>41</v>
      </c>
      <c r="D27" s="9" t="s">
        <v>25</v>
      </c>
      <c r="E27" s="81" t="s">
        <v>67</v>
      </c>
    </row>
    <row r="28" spans="1:5">
      <c r="A28" s="2">
        <v>45560.636509490738</v>
      </c>
      <c r="B28" s="3" t="s">
        <v>43</v>
      </c>
      <c r="C28" s="5" t="s">
        <v>44</v>
      </c>
      <c r="D28" s="10" t="s">
        <v>8</v>
      </c>
      <c r="E28" s="81" t="s">
        <v>68</v>
      </c>
    </row>
    <row r="29" spans="1:5" ht="28.9">
      <c r="A29" s="2">
        <v>45560.639897337962</v>
      </c>
      <c r="B29" s="3" t="s">
        <v>46</v>
      </c>
      <c r="C29" s="5" t="s">
        <v>46</v>
      </c>
      <c r="D29" s="3" t="s">
        <v>46</v>
      </c>
      <c r="E29" s="81" t="s">
        <v>69</v>
      </c>
    </row>
    <row r="30" spans="1:5" ht="28.9">
      <c r="A30" s="2">
        <v>45560.639897337962</v>
      </c>
      <c r="B30" s="3" t="s">
        <v>46</v>
      </c>
      <c r="C30" s="5" t="s">
        <v>46</v>
      </c>
      <c r="D30" s="3" t="s">
        <v>46</v>
      </c>
      <c r="E30" s="81" t="s">
        <v>70</v>
      </c>
    </row>
    <row r="31" spans="1:5" ht="28.9">
      <c r="A31" s="2">
        <v>45565.489712037037</v>
      </c>
      <c r="B31" s="3" t="s">
        <v>71</v>
      </c>
      <c r="C31" s="5" t="s">
        <v>72</v>
      </c>
      <c r="D31" s="11" t="s">
        <v>14</v>
      </c>
      <c r="E31" s="81" t="s">
        <v>73</v>
      </c>
    </row>
    <row r="32" spans="1:5" ht="28.9">
      <c r="A32" s="2">
        <v>45567.537296527778</v>
      </c>
      <c r="B32" s="3" t="s">
        <v>46</v>
      </c>
      <c r="C32" s="5" t="s">
        <v>46</v>
      </c>
      <c r="D32" s="3" t="s">
        <v>46</v>
      </c>
      <c r="E32" s="81" t="s">
        <v>74</v>
      </c>
    </row>
    <row r="33" spans="1:5">
      <c r="A33" s="2">
        <v>45572.787066550925</v>
      </c>
      <c r="B33" s="3" t="s">
        <v>75</v>
      </c>
      <c r="C33" s="5" t="s">
        <v>76</v>
      </c>
      <c r="D33" s="9" t="s">
        <v>25</v>
      </c>
      <c r="E33" s="81" t="s">
        <v>77</v>
      </c>
    </row>
    <row r="34" spans="1:5">
      <c r="A34" s="2">
        <v>45574.588817013886</v>
      </c>
      <c r="B34" s="3" t="s">
        <v>78</v>
      </c>
      <c r="C34" s="5" t="s">
        <v>79</v>
      </c>
      <c r="D34" s="9" t="s">
        <v>25</v>
      </c>
      <c r="E34" s="81" t="s">
        <v>80</v>
      </c>
    </row>
    <row r="35" spans="1:5" ht="28.9">
      <c r="A35" s="2">
        <v>45575.657638888886</v>
      </c>
      <c r="B35" s="3" t="s">
        <v>46</v>
      </c>
      <c r="C35" s="5" t="s">
        <v>46</v>
      </c>
      <c r="D35" s="3" t="s">
        <v>46</v>
      </c>
      <c r="E35" s="81" t="s">
        <v>81</v>
      </c>
    </row>
    <row r="36" spans="1:5" ht="28.9">
      <c r="A36" s="2">
        <v>45575.657637152777</v>
      </c>
      <c r="B36" s="3" t="s">
        <v>82</v>
      </c>
      <c r="C36" s="5" t="s">
        <v>79</v>
      </c>
      <c r="D36" s="9" t="s">
        <v>25</v>
      </c>
      <c r="E36" s="81" t="s">
        <v>83</v>
      </c>
    </row>
    <row r="37" spans="1:5" ht="28.9">
      <c r="A37" s="2">
        <v>45576.47556053241</v>
      </c>
      <c r="B37" s="3" t="s">
        <v>46</v>
      </c>
      <c r="C37" s="5" t="s">
        <v>46</v>
      </c>
      <c r="D37" s="3" t="s">
        <v>46</v>
      </c>
      <c r="E37" s="81" t="s">
        <v>84</v>
      </c>
    </row>
    <row r="38" spans="1:5" ht="28.9">
      <c r="A38" s="2">
        <v>45580.500001504632</v>
      </c>
      <c r="B38" s="3" t="s">
        <v>46</v>
      </c>
      <c r="C38" s="5" t="s">
        <v>46</v>
      </c>
      <c r="D38" s="3" t="s">
        <v>46</v>
      </c>
      <c r="E38" s="81" t="s">
        <v>69</v>
      </c>
    </row>
    <row r="39" spans="1:5" ht="28.9">
      <c r="A39" s="2">
        <v>45595.759027777778</v>
      </c>
      <c r="B39" s="3" t="s">
        <v>46</v>
      </c>
      <c r="C39" s="5" t="s">
        <v>46</v>
      </c>
      <c r="D39" s="3" t="s">
        <v>46</v>
      </c>
      <c r="E39" s="81" t="s">
        <v>85</v>
      </c>
    </row>
    <row r="40" spans="1:5" ht="28.9">
      <c r="A40" s="2">
        <v>45595.849305555559</v>
      </c>
      <c r="B40" s="3" t="s">
        <v>46</v>
      </c>
      <c r="C40" s="5" t="s">
        <v>46</v>
      </c>
      <c r="D40" s="3" t="s">
        <v>46</v>
      </c>
      <c r="E40" s="81" t="s">
        <v>86</v>
      </c>
    </row>
  </sheetData>
  <sheetProtection algorithmName="SHA-512" hashValue="AhHPcQb35ZcKpoanyqX5XCf1mVJzk/+eqnMGZuGJkjUepHveCUHYkt1y8WK6yjgpktjKvTfZKVU1SdNhBzds3A==" saltValue="ssSF3GYxBRAAO1VdimWkjw==" spinCount="100000" sheet="1" objects="1" scenarios="1" autoFilter="0"/>
  <mergeCells count="1">
    <mergeCell ref="A1:E1"/>
  </mergeCells>
  <conditionalFormatting sqref="B5">
    <cfRule type="duplicateValues" dxfId="103" priority="6"/>
  </conditionalFormatting>
  <conditionalFormatting sqref="B7">
    <cfRule type="duplicateValues" dxfId="102" priority="5"/>
  </conditionalFormatting>
  <conditionalFormatting sqref="B6">
    <cfRule type="duplicateValues" dxfId="101" priority="3"/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FB39E-1D15-4E3C-BD1F-281B75177E17}">
  <dimension ref="A1:AA73"/>
  <sheetViews>
    <sheetView zoomScale="117" workbookViewId="0">
      <pane xSplit="4" ySplit="2" topLeftCell="F66" activePane="bottomRight" state="frozen"/>
      <selection pane="bottomRight" activeCell="J2" sqref="F2:J2"/>
      <selection pane="bottomLeft" activeCell="A3" sqref="A3"/>
      <selection pane="topRight" activeCell="D1" sqref="D1"/>
    </sheetView>
  </sheetViews>
  <sheetFormatPr defaultColWidth="12.140625" defaultRowHeight="13.9"/>
  <cols>
    <col min="1" max="1" width="12.5703125" style="60" bestFit="1" customWidth="1"/>
    <col min="2" max="2" width="15.28515625" style="60" bestFit="1" customWidth="1"/>
    <col min="3" max="3" width="12.85546875" style="60" bestFit="1" customWidth="1"/>
    <col min="4" max="4" width="32.140625" style="60" bestFit="1" customWidth="1"/>
    <col min="5" max="5" width="16.5703125" style="60" customWidth="1"/>
    <col min="6" max="6" width="15.42578125" style="60" customWidth="1"/>
    <col min="7" max="7" width="15.7109375" style="60" customWidth="1"/>
    <col min="8" max="8" width="15.5703125" style="60" bestFit="1" customWidth="1"/>
    <col min="9" max="9" width="15.5703125" style="60" customWidth="1"/>
    <col min="10" max="10" width="15.85546875" style="60" bestFit="1" customWidth="1"/>
    <col min="11" max="11" width="13" style="60" bestFit="1" customWidth="1"/>
    <col min="12" max="12" width="16.140625" style="60" bestFit="1" customWidth="1"/>
    <col min="13" max="13" width="16" style="60" bestFit="1" customWidth="1"/>
    <col min="14" max="14" width="11" style="60" bestFit="1" customWidth="1"/>
    <col min="15" max="15" width="12.7109375" style="60" bestFit="1" customWidth="1"/>
    <col min="16" max="16" width="15.7109375" style="60" bestFit="1" customWidth="1"/>
    <col min="17" max="17" width="15.7109375" style="60" customWidth="1"/>
    <col min="18" max="18" width="12.140625" style="60"/>
    <col min="19" max="19" width="16.140625" style="60" bestFit="1" customWidth="1"/>
    <col min="20" max="21" width="16.140625" style="60" customWidth="1"/>
    <col min="22" max="23" width="11.85546875" style="60" bestFit="1" customWidth="1"/>
    <col min="24" max="25" width="14.85546875" style="60" bestFit="1" customWidth="1"/>
    <col min="26" max="27" width="15.42578125" style="60" bestFit="1" customWidth="1"/>
    <col min="28" max="16384" width="12.140625" style="60"/>
  </cols>
  <sheetData>
    <row r="1" spans="1:27" s="48" customFormat="1">
      <c r="A1" s="12" t="str">
        <f>COUNTIF(EVProj5[Flip Site?],"Y")&amp;" sites"</f>
        <v>70 sites</v>
      </c>
      <c r="B1" s="12" t="s">
        <v>87</v>
      </c>
      <c r="C1" s="12" t="str">
        <f>COUNTA(EVProj5[Poll Code])&amp;" sites"</f>
        <v>71 sites</v>
      </c>
      <c r="E1" s="13">
        <f>SUM(EVProj5[★ E-Pollbooks])</f>
        <v>420</v>
      </c>
      <c r="F1" s="13">
        <f>SUM(EVProj5[★ Hard Case Voting Machines])</f>
        <v>1082</v>
      </c>
      <c r="G1" s="13">
        <f>SUM(EVProj5[★ Soft Case (ADA) Voting Machines])</f>
        <v>75</v>
      </c>
      <c r="H1" s="13">
        <f>SUM(EVProj5[★ Curbside (Cart) Voting Machines])</f>
        <v>100</v>
      </c>
      <c r="I1" s="13">
        <f>SUM(EVProj5[★ Curbside (Rollie) Voting Machines])</f>
        <v>64</v>
      </c>
      <c r="J1" s="13">
        <f>SUM(EVProj5[Voting Machines (All Types)])</f>
        <v>1321</v>
      </c>
      <c r="K1" s="13">
        <f>SUM(EVProj5[★ Vote Tabulator])</f>
        <v>71</v>
      </c>
      <c r="L1" s="13">
        <f>SUM(EVProj5[★ AEO Clerks])</f>
        <v>487</v>
      </c>
      <c r="M1" s="13">
        <f>SUM(EVProj5[★ PEO Clerks])</f>
        <v>527</v>
      </c>
      <c r="N1" s="13">
        <f>SUM(EVProj5[★ AEO])</f>
        <v>71</v>
      </c>
      <c r="O1" s="13">
        <f>SUM(EVProj5[★ PEO])</f>
        <v>71</v>
      </c>
      <c r="P1" s="13">
        <f>SUM(EVProj5[Total '# of Workers (incld. PEO(s), AEO and Clerks)])</f>
        <v>1156</v>
      </c>
      <c r="Q1" s="13">
        <f>SUM(EVProj5[Total '# of Workers if Calculated Like ED (incld. PEO(s), AEO and Clerks)])</f>
        <v>949</v>
      </c>
      <c r="R1" s="13">
        <f>SUM(EVProj5[★ Ballot Cards])</f>
        <v>1155000</v>
      </c>
      <c r="S1" s="13">
        <f>SUM(EVProj5[★ Ballot Card Pads])</f>
        <v>4620</v>
      </c>
      <c r="T1" s="13">
        <f>SUM(EVProj5[Ballot Cards (max 10k)])</f>
        <v>583750</v>
      </c>
      <c r="U1" s="13">
        <f>SUM(EVProj5[Ballot Card Pads (max 10k)])</f>
        <v>2335</v>
      </c>
      <c r="V1" s="13">
        <f>SUM(EVProj5[Tables Needed])</f>
        <v>495</v>
      </c>
      <c r="W1" s="13">
        <f>SUM(EVProj5[Chairs Needed])</f>
        <v>495</v>
      </c>
      <c r="X1" s="13">
        <f>SUM(EVProj5[Tables Provided by the Vote Center])</f>
        <v>394</v>
      </c>
      <c r="Y1" s="13">
        <f>SUM(EVProj5[Chairs Provided by the Vote Center])</f>
        <v>1681</v>
      </c>
      <c r="Z1" s="13">
        <f>SUM(EVProj5[★ Tables to be Deployed by DCED])</f>
        <v>255</v>
      </c>
      <c r="AA1" s="13">
        <f>SUM(EVProj5[★ Chairs to be Deployed by DCED])</f>
        <v>211</v>
      </c>
    </row>
    <row r="2" spans="1:27" s="49" customFormat="1" ht="41.45">
      <c r="A2" s="49" t="s">
        <v>88</v>
      </c>
      <c r="B2" s="49" t="s">
        <v>89</v>
      </c>
      <c r="C2" s="50" t="s">
        <v>2</v>
      </c>
      <c r="D2" s="49" t="s">
        <v>3</v>
      </c>
      <c r="E2" s="51" t="s">
        <v>90</v>
      </c>
      <c r="F2" s="52" t="s">
        <v>91</v>
      </c>
      <c r="G2" s="52" t="s">
        <v>92</v>
      </c>
      <c r="H2" s="52" t="s">
        <v>93</v>
      </c>
      <c r="I2" s="52" t="s">
        <v>94</v>
      </c>
      <c r="J2" s="52" t="s">
        <v>95</v>
      </c>
      <c r="K2" s="53" t="s">
        <v>96</v>
      </c>
      <c r="L2" s="54" t="s">
        <v>97</v>
      </c>
      <c r="M2" s="54" t="s">
        <v>98</v>
      </c>
      <c r="N2" s="54" t="s">
        <v>99</v>
      </c>
      <c r="O2" s="54" t="s">
        <v>100</v>
      </c>
      <c r="P2" s="71" t="s">
        <v>101</v>
      </c>
      <c r="Q2" s="71" t="s">
        <v>102</v>
      </c>
      <c r="R2" s="55" t="s">
        <v>103</v>
      </c>
      <c r="S2" s="55" t="s">
        <v>104</v>
      </c>
      <c r="T2" s="55" t="s">
        <v>105</v>
      </c>
      <c r="U2" s="55" t="s">
        <v>106</v>
      </c>
      <c r="V2" s="56" t="s">
        <v>107</v>
      </c>
      <c r="W2" s="56" t="s">
        <v>108</v>
      </c>
      <c r="X2" s="56" t="s">
        <v>109</v>
      </c>
      <c r="Y2" s="56" t="s">
        <v>110</v>
      </c>
      <c r="Z2" s="57" t="s">
        <v>111</v>
      </c>
      <c r="AA2" s="57" t="s">
        <v>112</v>
      </c>
    </row>
    <row r="3" spans="1:27">
      <c r="A3" s="58" t="s">
        <v>113</v>
      </c>
      <c r="B3" s="58" t="s">
        <v>114</v>
      </c>
      <c r="C3" s="30" t="s">
        <v>115</v>
      </c>
      <c r="D3" s="31" t="s">
        <v>116</v>
      </c>
      <c r="E3" s="58">
        <v>6</v>
      </c>
      <c r="F3" s="58">
        <v>17</v>
      </c>
      <c r="G3" s="58">
        <v>1</v>
      </c>
      <c r="H3" s="58">
        <v>2</v>
      </c>
      <c r="I3" s="58">
        <v>1</v>
      </c>
      <c r="J3" s="58">
        <f>SUM(EVProj5[[#This Row],[★ Hard Case Voting Machines]:[★ Curbside (Rollie) Voting Machines]])</f>
        <v>21</v>
      </c>
      <c r="K3" s="58">
        <v>1</v>
      </c>
      <c r="L3" s="58">
        <v>9</v>
      </c>
      <c r="M3" s="58">
        <v>10</v>
      </c>
      <c r="N3" s="58">
        <v>1</v>
      </c>
      <c r="O3" s="58">
        <v>1</v>
      </c>
      <c r="P3" s="58">
        <v>21</v>
      </c>
      <c r="Q3" s="58">
        <v>14</v>
      </c>
      <c r="R3" s="59">
        <v>30500</v>
      </c>
      <c r="S3" s="58">
        <v>122</v>
      </c>
      <c r="T3" s="59">
        <f>IF(EVProj5[[#This Row],[★ Ballot Cards]]&gt;10000,10000,EVProj5[[#This Row],[★ Ballot Cards]])</f>
        <v>10000</v>
      </c>
      <c r="U3" s="58">
        <f>EVProj5[[#This Row],[Ballot Cards (max 10k)]]/250</f>
        <v>40</v>
      </c>
      <c r="V3" s="58">
        <f>EVProj5[[#This Row],[★ E-Pollbooks]]+EVProj5[[#This Row],[★ Soft Case (ADA) Voting Machines]]</f>
        <v>7</v>
      </c>
      <c r="W3" s="58">
        <f>EVProj5[[#This Row],[Tables Needed]]</f>
        <v>7</v>
      </c>
      <c r="X3" s="58">
        <v>8</v>
      </c>
      <c r="Y3" s="58">
        <v>20</v>
      </c>
      <c r="Z3" s="58">
        <f>IF(EVProj5[[#This Row],[Tables Needed]]-EVProj5[[#This Row],[Tables Provided by the Vote Center]]&lt;0,0,EVProj5[[#This Row],[Tables Needed]]-EVProj5[[#This Row],[Tables Provided by the Vote Center]])</f>
        <v>0</v>
      </c>
      <c r="AA3" s="58">
        <f>IF(EVProj5[[#This Row],[Chairs Needed]]-EVProj5[[#This Row],[Chairs Provided by the Vote Center]]&lt;0,0,EVProj5[[#This Row],[Chairs Needed]]-EVProj5[[#This Row],[Chairs Provided by the Vote Center]])</f>
        <v>0</v>
      </c>
    </row>
    <row r="4" spans="1:27">
      <c r="A4" s="58" t="s">
        <v>113</v>
      </c>
      <c r="B4" s="58" t="s">
        <v>117</v>
      </c>
      <c r="C4" s="30" t="s">
        <v>118</v>
      </c>
      <c r="D4" s="31" t="s">
        <v>119</v>
      </c>
      <c r="E4" s="58">
        <v>6</v>
      </c>
      <c r="F4" s="58">
        <v>20</v>
      </c>
      <c r="G4" s="58">
        <v>1</v>
      </c>
      <c r="H4" s="58">
        <v>1</v>
      </c>
      <c r="I4" s="58">
        <v>1</v>
      </c>
      <c r="J4" s="58">
        <f>SUM(EVProj5[[#This Row],[★ Hard Case Voting Machines]:[★ Curbside (Rollie) Voting Machines]])</f>
        <v>23</v>
      </c>
      <c r="K4" s="58">
        <v>1</v>
      </c>
      <c r="L4" s="58">
        <v>6</v>
      </c>
      <c r="M4" s="58">
        <v>6</v>
      </c>
      <c r="N4" s="58">
        <v>1</v>
      </c>
      <c r="O4" s="58">
        <v>1</v>
      </c>
      <c r="P4" s="58">
        <v>14</v>
      </c>
      <c r="Q4" s="58">
        <v>14</v>
      </c>
      <c r="R4" s="59">
        <v>10250</v>
      </c>
      <c r="S4" s="58">
        <v>41</v>
      </c>
      <c r="T4" s="59">
        <f>IF(EVProj5[[#This Row],[★ Ballot Cards]]&gt;10000,10000,EVProj5[[#This Row],[★ Ballot Cards]])</f>
        <v>10000</v>
      </c>
      <c r="U4" s="58">
        <f>EVProj5[[#This Row],[Ballot Cards (max 10k)]]/250</f>
        <v>40</v>
      </c>
      <c r="V4" s="58">
        <f>EVProj5[[#This Row],[★ E-Pollbooks]]+EVProj5[[#This Row],[★ Soft Case (ADA) Voting Machines]]</f>
        <v>7</v>
      </c>
      <c r="W4" s="58">
        <f>EVProj5[[#This Row],[Tables Needed]]</f>
        <v>7</v>
      </c>
      <c r="X4" s="58">
        <v>6</v>
      </c>
      <c r="Y4" s="58">
        <v>6</v>
      </c>
      <c r="Z4" s="58">
        <f>IF(EVProj5[[#This Row],[Tables Needed]]-EVProj5[[#This Row],[Tables Provided by the Vote Center]]&lt;0,0,EVProj5[[#This Row],[Tables Needed]]-EVProj5[[#This Row],[Tables Provided by the Vote Center]])</f>
        <v>1</v>
      </c>
      <c r="AA4" s="58">
        <f>IF(EVProj5[[#This Row],[Chairs Needed]]-EVProj5[[#This Row],[Chairs Provided by the Vote Center]]&lt;0,0,EVProj5[[#This Row],[Chairs Needed]]-EVProj5[[#This Row],[Chairs Provided by the Vote Center]])</f>
        <v>1</v>
      </c>
    </row>
    <row r="5" spans="1:27">
      <c r="A5" s="58" t="s">
        <v>113</v>
      </c>
      <c r="B5" s="58" t="s">
        <v>120</v>
      </c>
      <c r="C5" s="30" t="s">
        <v>121</v>
      </c>
      <c r="D5" s="31" t="s">
        <v>122</v>
      </c>
      <c r="E5" s="58">
        <v>8</v>
      </c>
      <c r="F5" s="58">
        <v>19</v>
      </c>
      <c r="G5" s="58">
        <v>1</v>
      </c>
      <c r="H5" s="58">
        <v>2</v>
      </c>
      <c r="I5" s="58">
        <v>1</v>
      </c>
      <c r="J5" s="58">
        <f>SUM(EVProj5[[#This Row],[★ Hard Case Voting Machines]:[★ Curbside (Rollie) Voting Machines]])</f>
        <v>23</v>
      </c>
      <c r="K5" s="58">
        <v>1</v>
      </c>
      <c r="L5" s="58">
        <v>11</v>
      </c>
      <c r="M5" s="58">
        <v>11</v>
      </c>
      <c r="N5" s="58">
        <v>1</v>
      </c>
      <c r="O5" s="58">
        <v>1</v>
      </c>
      <c r="P5" s="58">
        <v>24</v>
      </c>
      <c r="Q5" s="58">
        <v>15</v>
      </c>
      <c r="R5" s="59">
        <v>34250</v>
      </c>
      <c r="S5" s="58">
        <v>137</v>
      </c>
      <c r="T5" s="59">
        <f>IF(EVProj5[[#This Row],[★ Ballot Cards]]&gt;10000,10000,EVProj5[[#This Row],[★ Ballot Cards]])</f>
        <v>10000</v>
      </c>
      <c r="U5" s="58">
        <f>EVProj5[[#This Row],[Ballot Cards (max 10k)]]/250</f>
        <v>40</v>
      </c>
      <c r="V5" s="58">
        <f>EVProj5[[#This Row],[★ E-Pollbooks]]+EVProj5[[#This Row],[★ Soft Case (ADA) Voting Machines]]</f>
        <v>9</v>
      </c>
      <c r="W5" s="58">
        <f>EVProj5[[#This Row],[Tables Needed]]</f>
        <v>9</v>
      </c>
      <c r="X5" s="58">
        <v>0</v>
      </c>
      <c r="Y5" s="58">
        <v>0</v>
      </c>
      <c r="Z5" s="58">
        <f>IF(EVProj5[[#This Row],[Tables Needed]]-EVProj5[[#This Row],[Tables Provided by the Vote Center]]&lt;0,0,EVProj5[[#This Row],[Tables Needed]]-EVProj5[[#This Row],[Tables Provided by the Vote Center]])</f>
        <v>9</v>
      </c>
      <c r="AA5" s="58">
        <f>IF(EVProj5[[#This Row],[Chairs Needed]]-EVProj5[[#This Row],[Chairs Provided by the Vote Center]]&lt;0,0,EVProj5[[#This Row],[Chairs Needed]]-EVProj5[[#This Row],[Chairs Provided by the Vote Center]])</f>
        <v>9</v>
      </c>
    </row>
    <row r="6" spans="1:27">
      <c r="A6" s="58" t="s">
        <v>113</v>
      </c>
      <c r="B6" s="58" t="s">
        <v>123</v>
      </c>
      <c r="C6" s="30" t="s">
        <v>124</v>
      </c>
      <c r="D6" s="31" t="s">
        <v>125</v>
      </c>
      <c r="E6" s="58">
        <v>4</v>
      </c>
      <c r="F6" s="58">
        <v>8</v>
      </c>
      <c r="G6" s="58">
        <v>1</v>
      </c>
      <c r="H6" s="58">
        <v>1</v>
      </c>
      <c r="I6" s="58">
        <v>1</v>
      </c>
      <c r="J6" s="58">
        <f>SUM(EVProj5[[#This Row],[★ Hard Case Voting Machines]:[★ Curbside (Rollie) Voting Machines]])</f>
        <v>11</v>
      </c>
      <c r="K6" s="58">
        <v>1</v>
      </c>
      <c r="L6" s="58">
        <v>5</v>
      </c>
      <c r="M6" s="58">
        <v>6</v>
      </c>
      <c r="N6" s="58">
        <v>1</v>
      </c>
      <c r="O6" s="58">
        <v>1</v>
      </c>
      <c r="P6" s="58">
        <v>13</v>
      </c>
      <c r="Q6" s="58">
        <v>10</v>
      </c>
      <c r="R6" s="59">
        <v>9500</v>
      </c>
      <c r="S6" s="58">
        <v>38</v>
      </c>
      <c r="T6" s="59">
        <f>IF(EVProj5[[#This Row],[★ Ballot Cards]]&gt;10000,10000,EVProj5[[#This Row],[★ Ballot Cards]])</f>
        <v>9500</v>
      </c>
      <c r="U6" s="58">
        <f>EVProj5[[#This Row],[Ballot Cards (max 10k)]]/250</f>
        <v>38</v>
      </c>
      <c r="V6" s="58">
        <f>EVProj5[[#This Row],[★ E-Pollbooks]]+EVProj5[[#This Row],[★ Soft Case (ADA) Voting Machines]]</f>
        <v>5</v>
      </c>
      <c r="W6" s="58">
        <f>EVProj5[[#This Row],[Tables Needed]]</f>
        <v>5</v>
      </c>
      <c r="X6" s="58">
        <v>0</v>
      </c>
      <c r="Y6" s="58">
        <v>0</v>
      </c>
      <c r="Z6" s="58">
        <f>IF(EVProj5[[#This Row],[Tables Needed]]-EVProj5[[#This Row],[Tables Provided by the Vote Center]]&lt;0,0,EVProj5[[#This Row],[Tables Needed]]-EVProj5[[#This Row],[Tables Provided by the Vote Center]])</f>
        <v>5</v>
      </c>
      <c r="AA6" s="58">
        <f>IF(EVProj5[[#This Row],[Chairs Needed]]-EVProj5[[#This Row],[Chairs Provided by the Vote Center]]&lt;0,0,EVProj5[[#This Row],[Chairs Needed]]-EVProj5[[#This Row],[Chairs Provided by the Vote Center]])</f>
        <v>5</v>
      </c>
    </row>
    <row r="7" spans="1:27">
      <c r="A7" s="24" t="s">
        <v>113</v>
      </c>
      <c r="B7" s="24" t="s">
        <v>126</v>
      </c>
      <c r="C7" s="61" t="s">
        <v>127</v>
      </c>
      <c r="D7" s="62" t="s">
        <v>128</v>
      </c>
      <c r="E7" s="24">
        <v>4</v>
      </c>
      <c r="F7" s="24">
        <v>10</v>
      </c>
      <c r="G7" s="24">
        <v>1</v>
      </c>
      <c r="H7" s="58">
        <v>1</v>
      </c>
      <c r="I7" s="58">
        <v>1</v>
      </c>
      <c r="J7" s="24">
        <f>SUM(EVProj5[[#This Row],[★ Hard Case Voting Machines]:[★ Curbside (Rollie) Voting Machines]])</f>
        <v>13</v>
      </c>
      <c r="K7" s="24">
        <v>1</v>
      </c>
      <c r="L7" s="24">
        <v>5</v>
      </c>
      <c r="M7" s="24">
        <v>6</v>
      </c>
      <c r="N7" s="24">
        <v>1</v>
      </c>
      <c r="O7" s="24">
        <v>1</v>
      </c>
      <c r="P7" s="24">
        <v>13</v>
      </c>
      <c r="Q7" s="24">
        <v>11</v>
      </c>
      <c r="R7" s="63">
        <v>8500</v>
      </c>
      <c r="S7" s="24">
        <v>34</v>
      </c>
      <c r="T7" s="63">
        <f>IF(EVProj5[[#This Row],[★ Ballot Cards]]&gt;10000,10000,EVProj5[[#This Row],[★ Ballot Cards]])</f>
        <v>8500</v>
      </c>
      <c r="U7" s="24">
        <f>EVProj5[[#This Row],[Ballot Cards (max 10k)]]/250</f>
        <v>34</v>
      </c>
      <c r="V7" s="24">
        <f>EVProj5[[#This Row],[★ E-Pollbooks]]+EVProj5[[#This Row],[★ Soft Case (ADA) Voting Machines]]</f>
        <v>5</v>
      </c>
      <c r="W7" s="24">
        <f>EVProj5[[#This Row],[Tables Needed]]</f>
        <v>5</v>
      </c>
      <c r="X7" s="24">
        <v>0</v>
      </c>
      <c r="Y7" s="24">
        <v>0</v>
      </c>
      <c r="Z7" s="24">
        <f>IF(EVProj5[[#This Row],[Tables Needed]]-EVProj5[[#This Row],[Tables Provided by the Vote Center]]&lt;0,0,EVProj5[[#This Row],[Tables Needed]]-EVProj5[[#This Row],[Tables Provided by the Vote Center]])</f>
        <v>5</v>
      </c>
      <c r="AA7" s="24">
        <f>IF(EVProj5[[#This Row],[Chairs Needed]]-EVProj5[[#This Row],[Chairs Provided by the Vote Center]]&lt;0,0,EVProj5[[#This Row],[Chairs Needed]]-EVProj5[[#This Row],[Chairs Provided by the Vote Center]])</f>
        <v>5</v>
      </c>
    </row>
    <row r="8" spans="1:27" s="64" customFormat="1">
      <c r="A8" s="58" t="s">
        <v>113</v>
      </c>
      <c r="B8" s="58" t="s">
        <v>129</v>
      </c>
      <c r="C8" s="30" t="s">
        <v>130</v>
      </c>
      <c r="D8" s="31" t="s">
        <v>131</v>
      </c>
      <c r="E8" s="58">
        <v>5</v>
      </c>
      <c r="F8" s="58">
        <v>17</v>
      </c>
      <c r="G8" s="58">
        <v>1</v>
      </c>
      <c r="H8" s="58">
        <v>2</v>
      </c>
      <c r="I8" s="58">
        <v>0</v>
      </c>
      <c r="J8" s="58">
        <f>SUM(EVProj5[[#This Row],[★ Hard Case Voting Machines]:[★ Curbside (Rollie) Voting Machines]])</f>
        <v>20</v>
      </c>
      <c r="K8" s="58">
        <v>1</v>
      </c>
      <c r="L8" s="58">
        <v>7</v>
      </c>
      <c r="M8" s="58">
        <v>8</v>
      </c>
      <c r="N8" s="58">
        <v>1</v>
      </c>
      <c r="O8" s="58">
        <v>1</v>
      </c>
      <c r="P8" s="58">
        <v>17</v>
      </c>
      <c r="Q8" s="58">
        <v>13</v>
      </c>
      <c r="R8" s="59">
        <v>16250</v>
      </c>
      <c r="S8" s="58">
        <v>65</v>
      </c>
      <c r="T8" s="59">
        <f>IF(EVProj5[[#This Row],[★ Ballot Cards]]&gt;10000,10000,EVProj5[[#This Row],[★ Ballot Cards]])</f>
        <v>10000</v>
      </c>
      <c r="U8" s="58">
        <f>EVProj5[[#This Row],[Ballot Cards (max 10k)]]/250</f>
        <v>40</v>
      </c>
      <c r="V8" s="58">
        <f>EVProj5[[#This Row],[★ E-Pollbooks]]+EVProj5[[#This Row],[★ Soft Case (ADA) Voting Machines]]</f>
        <v>6</v>
      </c>
      <c r="W8" s="58">
        <f>EVProj5[[#This Row],[Tables Needed]]</f>
        <v>6</v>
      </c>
      <c r="X8" s="58">
        <v>14</v>
      </c>
      <c r="Y8" s="58">
        <v>30</v>
      </c>
      <c r="Z8" s="58">
        <f>IF(EVProj5[[#This Row],[Tables Needed]]-EVProj5[[#This Row],[Tables Provided by the Vote Center]]&lt;0,0,EVProj5[[#This Row],[Tables Needed]]-EVProj5[[#This Row],[Tables Provided by the Vote Center]])</f>
        <v>0</v>
      </c>
      <c r="AA8" s="58">
        <f>IF(EVProj5[[#This Row],[Chairs Needed]]-EVProj5[[#This Row],[Chairs Provided by the Vote Center]]&lt;0,0,EVProj5[[#This Row],[Chairs Needed]]-EVProj5[[#This Row],[Chairs Provided by the Vote Center]])</f>
        <v>0</v>
      </c>
    </row>
    <row r="9" spans="1:27">
      <c r="A9" s="58" t="s">
        <v>113</v>
      </c>
      <c r="B9" s="58" t="s">
        <v>132</v>
      </c>
      <c r="C9" s="30" t="s">
        <v>133</v>
      </c>
      <c r="D9" s="31" t="s">
        <v>134</v>
      </c>
      <c r="E9" s="58">
        <v>4</v>
      </c>
      <c r="F9" s="58">
        <v>10</v>
      </c>
      <c r="G9" s="58">
        <v>1</v>
      </c>
      <c r="H9" s="58">
        <v>1</v>
      </c>
      <c r="I9" s="58">
        <v>1</v>
      </c>
      <c r="J9" s="58">
        <f>SUM(EVProj5[[#This Row],[★ Hard Case Voting Machines]:[★ Curbside (Rollie) Voting Machines]])</f>
        <v>13</v>
      </c>
      <c r="K9" s="58">
        <v>1</v>
      </c>
      <c r="L9" s="58">
        <v>5</v>
      </c>
      <c r="M9" s="58">
        <v>6</v>
      </c>
      <c r="N9" s="58">
        <v>1</v>
      </c>
      <c r="O9" s="58">
        <v>1</v>
      </c>
      <c r="P9" s="58">
        <v>13</v>
      </c>
      <c r="Q9" s="58">
        <v>11</v>
      </c>
      <c r="R9" s="59">
        <v>12750</v>
      </c>
      <c r="S9" s="58">
        <v>51</v>
      </c>
      <c r="T9" s="59">
        <f>IF(EVProj5[[#This Row],[★ Ballot Cards]]&gt;10000,10000,EVProj5[[#This Row],[★ Ballot Cards]])</f>
        <v>10000</v>
      </c>
      <c r="U9" s="58">
        <f>EVProj5[[#This Row],[Ballot Cards (max 10k)]]/250</f>
        <v>40</v>
      </c>
      <c r="V9" s="58">
        <f>EVProj5[[#This Row],[★ E-Pollbooks]]+EVProj5[[#This Row],[★ Soft Case (ADA) Voting Machines]]</f>
        <v>5</v>
      </c>
      <c r="W9" s="58">
        <f>EVProj5[[#This Row],[Tables Needed]]</f>
        <v>5</v>
      </c>
      <c r="X9" s="58">
        <v>0</v>
      </c>
      <c r="Y9" s="58">
        <v>0</v>
      </c>
      <c r="Z9" s="58">
        <f>IF(EVProj5[[#This Row],[Tables Needed]]-EVProj5[[#This Row],[Tables Provided by the Vote Center]]&lt;0,0,EVProj5[[#This Row],[Tables Needed]]-EVProj5[[#This Row],[Tables Provided by the Vote Center]])</f>
        <v>5</v>
      </c>
      <c r="AA9" s="58">
        <f>IF(EVProj5[[#This Row],[Chairs Needed]]-EVProj5[[#This Row],[Chairs Provided by the Vote Center]]&lt;0,0,EVProj5[[#This Row],[Chairs Needed]]-EVProj5[[#This Row],[Chairs Provided by the Vote Center]])</f>
        <v>5</v>
      </c>
    </row>
    <row r="10" spans="1:27">
      <c r="A10" s="58" t="s">
        <v>113</v>
      </c>
      <c r="B10" s="58" t="s">
        <v>135</v>
      </c>
      <c r="C10" s="30" t="s">
        <v>136</v>
      </c>
      <c r="D10" s="31" t="s">
        <v>137</v>
      </c>
      <c r="E10" s="58">
        <v>4</v>
      </c>
      <c r="F10" s="58">
        <v>8</v>
      </c>
      <c r="G10" s="58">
        <v>1</v>
      </c>
      <c r="H10" s="58">
        <v>1</v>
      </c>
      <c r="I10" s="58">
        <v>1</v>
      </c>
      <c r="J10" s="58">
        <f>SUM(EVProj5[[#This Row],[★ Hard Case Voting Machines]:[★ Curbside (Rollie) Voting Machines]])</f>
        <v>11</v>
      </c>
      <c r="K10" s="58">
        <v>1</v>
      </c>
      <c r="L10" s="58">
        <v>4</v>
      </c>
      <c r="M10" s="58">
        <v>5</v>
      </c>
      <c r="N10" s="58">
        <v>1</v>
      </c>
      <c r="O10" s="58">
        <v>1</v>
      </c>
      <c r="P10" s="58">
        <v>11</v>
      </c>
      <c r="Q10" s="58">
        <v>10</v>
      </c>
      <c r="R10" s="59">
        <v>3000</v>
      </c>
      <c r="S10" s="58">
        <v>12</v>
      </c>
      <c r="T10" s="59">
        <f>IF(EVProj5[[#This Row],[★ Ballot Cards]]&gt;10000,10000,EVProj5[[#This Row],[★ Ballot Cards]])</f>
        <v>3000</v>
      </c>
      <c r="U10" s="58">
        <f>EVProj5[[#This Row],[Ballot Cards (max 10k)]]/250</f>
        <v>12</v>
      </c>
      <c r="V10" s="58">
        <f>EVProj5[[#This Row],[★ E-Pollbooks]]+EVProj5[[#This Row],[★ Soft Case (ADA) Voting Machines]]</f>
        <v>5</v>
      </c>
      <c r="W10" s="58">
        <f>EVProj5[[#This Row],[Tables Needed]]</f>
        <v>5</v>
      </c>
      <c r="X10" s="58">
        <v>15</v>
      </c>
      <c r="Y10" s="58">
        <v>26</v>
      </c>
      <c r="Z10" s="58">
        <f>IF(EVProj5[[#This Row],[Tables Needed]]-EVProj5[[#This Row],[Tables Provided by the Vote Center]]&lt;0,0,EVProj5[[#This Row],[Tables Needed]]-EVProj5[[#This Row],[Tables Provided by the Vote Center]])</f>
        <v>0</v>
      </c>
      <c r="AA10" s="58">
        <f>IF(EVProj5[[#This Row],[Chairs Needed]]-EVProj5[[#This Row],[Chairs Provided by the Vote Center]]&lt;0,0,EVProj5[[#This Row],[Chairs Needed]]-EVProj5[[#This Row],[Chairs Provided by the Vote Center]])</f>
        <v>0</v>
      </c>
    </row>
    <row r="11" spans="1:27">
      <c r="A11" s="58" t="s">
        <v>113</v>
      </c>
      <c r="B11" s="58" t="s">
        <v>138</v>
      </c>
      <c r="C11" s="30" t="s">
        <v>139</v>
      </c>
      <c r="D11" s="31" t="s">
        <v>140</v>
      </c>
      <c r="E11" s="58">
        <v>10</v>
      </c>
      <c r="F11" s="58">
        <v>23</v>
      </c>
      <c r="G11" s="58">
        <v>1</v>
      </c>
      <c r="H11" s="58">
        <v>2</v>
      </c>
      <c r="I11" s="58">
        <v>1</v>
      </c>
      <c r="J11" s="58">
        <f>SUM(EVProj5[[#This Row],[★ Hard Case Voting Machines]:[★ Curbside (Rollie) Voting Machines]])</f>
        <v>27</v>
      </c>
      <c r="K11" s="58">
        <v>1</v>
      </c>
      <c r="L11" s="58">
        <v>13</v>
      </c>
      <c r="M11" s="58">
        <v>13</v>
      </c>
      <c r="N11" s="58">
        <v>1</v>
      </c>
      <c r="O11" s="58">
        <v>1</v>
      </c>
      <c r="P11" s="58">
        <v>28</v>
      </c>
      <c r="Q11" s="58">
        <v>17</v>
      </c>
      <c r="R11" s="59">
        <v>34250</v>
      </c>
      <c r="S11" s="58">
        <v>137</v>
      </c>
      <c r="T11" s="59">
        <f>IF(EVProj5[[#This Row],[★ Ballot Cards]]&gt;10000,10000,EVProj5[[#This Row],[★ Ballot Cards]])</f>
        <v>10000</v>
      </c>
      <c r="U11" s="58">
        <f>EVProj5[[#This Row],[Ballot Cards (max 10k)]]/250</f>
        <v>40</v>
      </c>
      <c r="V11" s="58">
        <f>EVProj5[[#This Row],[★ E-Pollbooks]]+EVProj5[[#This Row],[★ Soft Case (ADA) Voting Machines]]</f>
        <v>11</v>
      </c>
      <c r="W11" s="58">
        <f>EVProj5[[#This Row],[Tables Needed]]</f>
        <v>11</v>
      </c>
      <c r="X11" s="58">
        <v>6</v>
      </c>
      <c r="Y11" s="58">
        <v>6</v>
      </c>
      <c r="Z11" s="58">
        <f>IF(EVProj5[[#This Row],[Tables Needed]]-EVProj5[[#This Row],[Tables Provided by the Vote Center]]&lt;0,0,EVProj5[[#This Row],[Tables Needed]]-EVProj5[[#This Row],[Tables Provided by the Vote Center]])</f>
        <v>5</v>
      </c>
      <c r="AA11" s="58">
        <f>IF(EVProj5[[#This Row],[Chairs Needed]]-EVProj5[[#This Row],[Chairs Provided by the Vote Center]]&lt;0,0,EVProj5[[#This Row],[Chairs Needed]]-EVProj5[[#This Row],[Chairs Provided by the Vote Center]])</f>
        <v>5</v>
      </c>
    </row>
    <row r="12" spans="1:27">
      <c r="A12" s="58" t="s">
        <v>113</v>
      </c>
      <c r="B12" s="58" t="s">
        <v>141</v>
      </c>
      <c r="C12" s="30" t="s">
        <v>142</v>
      </c>
      <c r="D12" s="31" t="s">
        <v>143</v>
      </c>
      <c r="E12" s="58">
        <v>5</v>
      </c>
      <c r="F12" s="58">
        <v>15</v>
      </c>
      <c r="G12" s="58">
        <v>1</v>
      </c>
      <c r="H12" s="58">
        <v>2</v>
      </c>
      <c r="I12" s="58">
        <v>0</v>
      </c>
      <c r="J12" s="58">
        <f>SUM(EVProj5[[#This Row],[★ Hard Case Voting Machines]:[★ Curbside (Rollie) Voting Machines]])</f>
        <v>18</v>
      </c>
      <c r="K12" s="58">
        <v>1</v>
      </c>
      <c r="L12" s="58">
        <v>6</v>
      </c>
      <c r="M12" s="58">
        <v>7</v>
      </c>
      <c r="N12" s="58">
        <v>1</v>
      </c>
      <c r="O12" s="58">
        <v>1</v>
      </c>
      <c r="P12" s="58">
        <v>15</v>
      </c>
      <c r="Q12" s="58">
        <v>13</v>
      </c>
      <c r="R12" s="59">
        <v>14000</v>
      </c>
      <c r="S12" s="58">
        <v>56</v>
      </c>
      <c r="T12" s="59">
        <f>IF(EVProj5[[#This Row],[★ Ballot Cards]]&gt;10000,10000,EVProj5[[#This Row],[★ Ballot Cards]])</f>
        <v>10000</v>
      </c>
      <c r="U12" s="58">
        <f>EVProj5[[#This Row],[Ballot Cards (max 10k)]]/250</f>
        <v>40</v>
      </c>
      <c r="V12" s="58">
        <f>EVProj5[[#This Row],[★ E-Pollbooks]]+EVProj5[[#This Row],[★ Soft Case (ADA) Voting Machines]]</f>
        <v>6</v>
      </c>
      <c r="W12" s="58">
        <f>EVProj5[[#This Row],[Tables Needed]]</f>
        <v>6</v>
      </c>
      <c r="X12" s="58">
        <v>0</v>
      </c>
      <c r="Y12" s="58">
        <v>0</v>
      </c>
      <c r="Z12" s="58">
        <f>IF(EVProj5[[#This Row],[Tables Needed]]-EVProj5[[#This Row],[Tables Provided by the Vote Center]]&lt;0,0,EVProj5[[#This Row],[Tables Needed]]-EVProj5[[#This Row],[Tables Provided by the Vote Center]])</f>
        <v>6</v>
      </c>
      <c r="AA12" s="58">
        <f>IF(EVProj5[[#This Row],[Chairs Needed]]-EVProj5[[#This Row],[Chairs Provided by the Vote Center]]&lt;0,0,EVProj5[[#This Row],[Chairs Needed]]-EVProj5[[#This Row],[Chairs Provided by the Vote Center]])</f>
        <v>6</v>
      </c>
    </row>
    <row r="13" spans="1:27">
      <c r="A13" s="58" t="s">
        <v>113</v>
      </c>
      <c r="B13" s="58" t="s">
        <v>144</v>
      </c>
      <c r="C13" s="30" t="s">
        <v>145</v>
      </c>
      <c r="D13" s="31" t="s">
        <v>146</v>
      </c>
      <c r="E13" s="58">
        <v>10</v>
      </c>
      <c r="F13" s="58">
        <v>23</v>
      </c>
      <c r="G13" s="58">
        <v>1</v>
      </c>
      <c r="H13" s="58">
        <v>2</v>
      </c>
      <c r="I13" s="58">
        <v>2</v>
      </c>
      <c r="J13" s="58">
        <f>SUM(EVProj5[[#This Row],[★ Hard Case Voting Machines]:[★ Curbside (Rollie) Voting Machines]])</f>
        <v>28</v>
      </c>
      <c r="K13" s="58">
        <v>1</v>
      </c>
      <c r="L13" s="58">
        <v>12</v>
      </c>
      <c r="M13" s="58">
        <v>12</v>
      </c>
      <c r="N13" s="58">
        <v>1</v>
      </c>
      <c r="O13" s="58">
        <v>1</v>
      </c>
      <c r="P13" s="58">
        <v>26</v>
      </c>
      <c r="Q13" s="58">
        <v>17</v>
      </c>
      <c r="R13" s="59">
        <v>40750</v>
      </c>
      <c r="S13" s="58">
        <v>163</v>
      </c>
      <c r="T13" s="59">
        <f>IF(EVProj5[[#This Row],[★ Ballot Cards]]&gt;10000,10000,EVProj5[[#This Row],[★ Ballot Cards]])</f>
        <v>10000</v>
      </c>
      <c r="U13" s="58">
        <f>EVProj5[[#This Row],[Ballot Cards (max 10k)]]/250</f>
        <v>40</v>
      </c>
      <c r="V13" s="58">
        <f>EVProj5[[#This Row],[★ E-Pollbooks]]+EVProj5[[#This Row],[★ Soft Case (ADA) Voting Machines]]</f>
        <v>11</v>
      </c>
      <c r="W13" s="58">
        <f>EVProj5[[#This Row],[Tables Needed]]</f>
        <v>11</v>
      </c>
      <c r="X13" s="58">
        <v>0</v>
      </c>
      <c r="Y13" s="58">
        <v>0</v>
      </c>
      <c r="Z13" s="58">
        <f>IF(EVProj5[[#This Row],[Tables Needed]]-EVProj5[[#This Row],[Tables Provided by the Vote Center]]&lt;0,0,EVProj5[[#This Row],[Tables Needed]]-EVProj5[[#This Row],[Tables Provided by the Vote Center]])</f>
        <v>11</v>
      </c>
      <c r="AA13" s="58">
        <f>IF(EVProj5[[#This Row],[Chairs Needed]]-EVProj5[[#This Row],[Chairs Provided by the Vote Center]]&lt;0,0,EVProj5[[#This Row],[Chairs Needed]]-EVProj5[[#This Row],[Chairs Provided by the Vote Center]])</f>
        <v>11</v>
      </c>
    </row>
    <row r="14" spans="1:27">
      <c r="A14" s="58" t="s">
        <v>113</v>
      </c>
      <c r="B14" s="58" t="s">
        <v>147</v>
      </c>
      <c r="C14" s="30" t="s">
        <v>148</v>
      </c>
      <c r="D14" s="31" t="s">
        <v>149</v>
      </c>
      <c r="E14" s="58">
        <v>9</v>
      </c>
      <c r="F14" s="58">
        <v>22</v>
      </c>
      <c r="G14" s="58">
        <v>1</v>
      </c>
      <c r="H14" s="58">
        <v>2</v>
      </c>
      <c r="I14" s="58">
        <v>1</v>
      </c>
      <c r="J14" s="58">
        <f>SUM(EVProj5[[#This Row],[★ Hard Case Voting Machines]:[★ Curbside (Rollie) Voting Machines]])</f>
        <v>26</v>
      </c>
      <c r="K14" s="58">
        <v>1</v>
      </c>
      <c r="L14" s="58">
        <v>11</v>
      </c>
      <c r="M14" s="58">
        <v>11</v>
      </c>
      <c r="N14" s="58">
        <v>1</v>
      </c>
      <c r="O14" s="58">
        <v>1</v>
      </c>
      <c r="P14" s="58">
        <v>24</v>
      </c>
      <c r="Q14" s="58">
        <v>17</v>
      </c>
      <c r="R14" s="59">
        <v>39750</v>
      </c>
      <c r="S14" s="58">
        <v>159</v>
      </c>
      <c r="T14" s="59">
        <f>IF(EVProj5[[#This Row],[★ Ballot Cards]]&gt;10000,10000,EVProj5[[#This Row],[★ Ballot Cards]])</f>
        <v>10000</v>
      </c>
      <c r="U14" s="58">
        <f>EVProj5[[#This Row],[Ballot Cards (max 10k)]]/250</f>
        <v>40</v>
      </c>
      <c r="V14" s="58">
        <f>EVProj5[[#This Row],[★ E-Pollbooks]]+EVProj5[[#This Row],[★ Soft Case (ADA) Voting Machines]]</f>
        <v>10</v>
      </c>
      <c r="W14" s="58">
        <f>EVProj5[[#This Row],[Tables Needed]]</f>
        <v>10</v>
      </c>
      <c r="X14" s="58">
        <v>10</v>
      </c>
      <c r="Y14" s="58">
        <v>20</v>
      </c>
      <c r="Z14" s="58">
        <f>IF(EVProj5[[#This Row],[Tables Needed]]-EVProj5[[#This Row],[Tables Provided by the Vote Center]]&lt;0,0,EVProj5[[#This Row],[Tables Needed]]-EVProj5[[#This Row],[Tables Provided by the Vote Center]])</f>
        <v>0</v>
      </c>
      <c r="AA14" s="58">
        <f>IF(EVProj5[[#This Row],[Chairs Needed]]-EVProj5[[#This Row],[Chairs Provided by the Vote Center]]&lt;0,0,EVProj5[[#This Row],[Chairs Needed]]-EVProj5[[#This Row],[Chairs Provided by the Vote Center]])</f>
        <v>0</v>
      </c>
    </row>
    <row r="15" spans="1:27">
      <c r="A15" s="58" t="s">
        <v>113</v>
      </c>
      <c r="B15" s="58" t="s">
        <v>150</v>
      </c>
      <c r="C15" s="30" t="s">
        <v>151</v>
      </c>
      <c r="D15" s="31" t="s">
        <v>152</v>
      </c>
      <c r="E15" s="58">
        <v>4</v>
      </c>
      <c r="F15" s="58">
        <v>10</v>
      </c>
      <c r="G15" s="58">
        <v>1</v>
      </c>
      <c r="H15" s="58">
        <v>1</v>
      </c>
      <c r="I15" s="58">
        <v>1</v>
      </c>
      <c r="J15" s="58">
        <f>SUM(EVProj5[[#This Row],[★ Hard Case Voting Machines]:[★ Curbside (Rollie) Voting Machines]])</f>
        <v>13</v>
      </c>
      <c r="K15" s="58">
        <v>1</v>
      </c>
      <c r="L15" s="58">
        <v>4</v>
      </c>
      <c r="M15" s="58">
        <v>5</v>
      </c>
      <c r="N15" s="58">
        <v>1</v>
      </c>
      <c r="O15" s="58">
        <v>1</v>
      </c>
      <c r="P15" s="58">
        <v>11</v>
      </c>
      <c r="Q15" s="58">
        <v>12</v>
      </c>
      <c r="R15" s="59">
        <v>5750</v>
      </c>
      <c r="S15" s="58">
        <v>23</v>
      </c>
      <c r="T15" s="59">
        <f>IF(EVProj5[[#This Row],[★ Ballot Cards]]&gt;10000,10000,EVProj5[[#This Row],[★ Ballot Cards]])</f>
        <v>5750</v>
      </c>
      <c r="U15" s="58">
        <f>EVProj5[[#This Row],[Ballot Cards (max 10k)]]/250</f>
        <v>23</v>
      </c>
      <c r="V15" s="58">
        <f>EVProj5[[#This Row],[★ E-Pollbooks]]+EVProj5[[#This Row],[★ Soft Case (ADA) Voting Machines]]</f>
        <v>5</v>
      </c>
      <c r="W15" s="58">
        <f>EVProj5[[#This Row],[Tables Needed]]</f>
        <v>5</v>
      </c>
      <c r="X15" s="58">
        <v>0</v>
      </c>
      <c r="Y15" s="58">
        <v>20</v>
      </c>
      <c r="Z15" s="58">
        <f>IF(EVProj5[[#This Row],[Tables Needed]]-EVProj5[[#This Row],[Tables Provided by the Vote Center]]&lt;0,0,EVProj5[[#This Row],[Tables Needed]]-EVProj5[[#This Row],[Tables Provided by the Vote Center]])</f>
        <v>5</v>
      </c>
      <c r="AA15" s="58">
        <f>IF(EVProj5[[#This Row],[Chairs Needed]]-EVProj5[[#This Row],[Chairs Provided by the Vote Center]]&lt;0,0,EVProj5[[#This Row],[Chairs Needed]]-EVProj5[[#This Row],[Chairs Provided by the Vote Center]])</f>
        <v>0</v>
      </c>
    </row>
    <row r="16" spans="1:27">
      <c r="A16" s="58" t="s">
        <v>113</v>
      </c>
      <c r="B16" s="58" t="s">
        <v>153</v>
      </c>
      <c r="C16" s="30" t="s">
        <v>154</v>
      </c>
      <c r="D16" s="31" t="s">
        <v>155</v>
      </c>
      <c r="E16" s="58">
        <v>4</v>
      </c>
      <c r="F16" s="58">
        <v>8</v>
      </c>
      <c r="G16" s="58">
        <v>1</v>
      </c>
      <c r="H16" s="58">
        <v>1</v>
      </c>
      <c r="I16" s="58">
        <v>1</v>
      </c>
      <c r="J16" s="58">
        <f>SUM(EVProj5[[#This Row],[★ Hard Case Voting Machines]:[★ Curbside (Rollie) Voting Machines]])</f>
        <v>11</v>
      </c>
      <c r="K16" s="58">
        <v>1</v>
      </c>
      <c r="L16" s="58">
        <v>4</v>
      </c>
      <c r="M16" s="58">
        <v>5</v>
      </c>
      <c r="N16" s="58">
        <v>1</v>
      </c>
      <c r="O16" s="58">
        <v>1</v>
      </c>
      <c r="P16" s="58">
        <v>11</v>
      </c>
      <c r="Q16" s="58">
        <v>10</v>
      </c>
      <c r="R16" s="59">
        <v>5750</v>
      </c>
      <c r="S16" s="58">
        <v>23</v>
      </c>
      <c r="T16" s="59">
        <f>IF(EVProj5[[#This Row],[★ Ballot Cards]]&gt;10000,10000,EVProj5[[#This Row],[★ Ballot Cards]])</f>
        <v>5750</v>
      </c>
      <c r="U16" s="58">
        <f>EVProj5[[#This Row],[Ballot Cards (max 10k)]]/250</f>
        <v>23</v>
      </c>
      <c r="V16" s="58">
        <f>EVProj5[[#This Row],[★ E-Pollbooks]]+EVProj5[[#This Row],[★ Soft Case (ADA) Voting Machines]]</f>
        <v>5</v>
      </c>
      <c r="W16" s="58">
        <f>EVProj5[[#This Row],[Tables Needed]]</f>
        <v>5</v>
      </c>
      <c r="X16" s="58">
        <v>0</v>
      </c>
      <c r="Y16" s="58">
        <v>0</v>
      </c>
      <c r="Z16" s="58">
        <f>IF(EVProj5[[#This Row],[Tables Needed]]-EVProj5[[#This Row],[Tables Provided by the Vote Center]]&lt;0,0,EVProj5[[#This Row],[Tables Needed]]-EVProj5[[#This Row],[Tables Provided by the Vote Center]])</f>
        <v>5</v>
      </c>
      <c r="AA16" s="58">
        <f>IF(EVProj5[[#This Row],[Chairs Needed]]-EVProj5[[#This Row],[Chairs Provided by the Vote Center]]&lt;0,0,EVProj5[[#This Row],[Chairs Needed]]-EVProj5[[#This Row],[Chairs Provided by the Vote Center]])</f>
        <v>5</v>
      </c>
    </row>
    <row r="17" spans="1:27">
      <c r="A17" s="58" t="s">
        <v>113</v>
      </c>
      <c r="B17" s="58" t="s">
        <v>156</v>
      </c>
      <c r="C17" s="30" t="s">
        <v>157</v>
      </c>
      <c r="D17" s="31" t="s">
        <v>158</v>
      </c>
      <c r="E17" s="58">
        <v>6</v>
      </c>
      <c r="F17" s="58">
        <v>18</v>
      </c>
      <c r="G17" s="58">
        <v>1</v>
      </c>
      <c r="H17" s="58">
        <v>1</v>
      </c>
      <c r="I17" s="58">
        <v>1</v>
      </c>
      <c r="J17" s="58">
        <f>SUM(EVProj5[[#This Row],[★ Hard Case Voting Machines]:[★ Curbside (Rollie) Voting Machines]])</f>
        <v>21</v>
      </c>
      <c r="K17" s="58">
        <v>1</v>
      </c>
      <c r="L17" s="58">
        <v>4</v>
      </c>
      <c r="M17" s="58">
        <v>5</v>
      </c>
      <c r="N17" s="58">
        <v>1</v>
      </c>
      <c r="O17" s="58">
        <v>1</v>
      </c>
      <c r="P17" s="58">
        <v>11</v>
      </c>
      <c r="Q17" s="58">
        <v>13</v>
      </c>
      <c r="R17" s="59">
        <v>3500</v>
      </c>
      <c r="S17" s="58">
        <v>14</v>
      </c>
      <c r="T17" s="59">
        <f>IF(EVProj5[[#This Row],[★ Ballot Cards]]&gt;10000,10000,EVProj5[[#This Row],[★ Ballot Cards]])</f>
        <v>3500</v>
      </c>
      <c r="U17" s="58">
        <f>EVProj5[[#This Row],[Ballot Cards (max 10k)]]/250</f>
        <v>14</v>
      </c>
      <c r="V17" s="58">
        <f>EVProj5[[#This Row],[★ E-Pollbooks]]+EVProj5[[#This Row],[★ Soft Case (ADA) Voting Machines]]</f>
        <v>7</v>
      </c>
      <c r="W17" s="58">
        <f>EVProj5[[#This Row],[Tables Needed]]</f>
        <v>7</v>
      </c>
      <c r="X17" s="58">
        <v>6</v>
      </c>
      <c r="Y17" s="58">
        <v>100</v>
      </c>
      <c r="Z17" s="58">
        <f>IF(EVProj5[[#This Row],[Tables Needed]]-EVProj5[[#This Row],[Tables Provided by the Vote Center]]&lt;0,0,EVProj5[[#This Row],[Tables Needed]]-EVProj5[[#This Row],[Tables Provided by the Vote Center]])</f>
        <v>1</v>
      </c>
      <c r="AA17" s="58">
        <f>IF(EVProj5[[#This Row],[Chairs Needed]]-EVProj5[[#This Row],[Chairs Provided by the Vote Center]]&lt;0,0,EVProj5[[#This Row],[Chairs Needed]]-EVProj5[[#This Row],[Chairs Provided by the Vote Center]])</f>
        <v>0</v>
      </c>
    </row>
    <row r="18" spans="1:27">
      <c r="A18" s="58" t="s">
        <v>113</v>
      </c>
      <c r="B18" s="58" t="s">
        <v>159</v>
      </c>
      <c r="C18" s="30" t="s">
        <v>160</v>
      </c>
      <c r="D18" s="31" t="s">
        <v>161</v>
      </c>
      <c r="E18" s="58">
        <v>5</v>
      </c>
      <c r="F18" s="58">
        <v>17</v>
      </c>
      <c r="G18" s="58">
        <v>1</v>
      </c>
      <c r="H18" s="58">
        <v>2</v>
      </c>
      <c r="I18" s="58">
        <v>0</v>
      </c>
      <c r="J18" s="58">
        <f>SUM(EVProj5[[#This Row],[★ Hard Case Voting Machines]:[★ Curbside (Rollie) Voting Machines]])</f>
        <v>20</v>
      </c>
      <c r="K18" s="58">
        <v>1</v>
      </c>
      <c r="L18" s="58">
        <v>8</v>
      </c>
      <c r="M18" s="58">
        <v>8</v>
      </c>
      <c r="N18" s="58">
        <v>1</v>
      </c>
      <c r="O18" s="58">
        <v>1</v>
      </c>
      <c r="P18" s="58">
        <v>18</v>
      </c>
      <c r="Q18" s="58">
        <v>14</v>
      </c>
      <c r="R18" s="59">
        <v>17500</v>
      </c>
      <c r="S18" s="58">
        <v>70</v>
      </c>
      <c r="T18" s="59">
        <f>IF(EVProj5[[#This Row],[★ Ballot Cards]]&gt;10000,10000,EVProj5[[#This Row],[★ Ballot Cards]])</f>
        <v>10000</v>
      </c>
      <c r="U18" s="58">
        <f>EVProj5[[#This Row],[Ballot Cards (max 10k)]]/250</f>
        <v>40</v>
      </c>
      <c r="V18" s="58">
        <f>EVProj5[[#This Row],[★ E-Pollbooks]]+EVProj5[[#This Row],[★ Soft Case (ADA) Voting Machines]]</f>
        <v>6</v>
      </c>
      <c r="W18" s="58">
        <f>EVProj5[[#This Row],[Tables Needed]]</f>
        <v>6</v>
      </c>
      <c r="X18" s="58">
        <v>20</v>
      </c>
      <c r="Y18" s="58">
        <v>30</v>
      </c>
      <c r="Z18" s="58">
        <f>IF(EVProj5[[#This Row],[Tables Needed]]-EVProj5[[#This Row],[Tables Provided by the Vote Center]]&lt;0,0,EVProj5[[#This Row],[Tables Needed]]-EVProj5[[#This Row],[Tables Provided by the Vote Center]])</f>
        <v>0</v>
      </c>
      <c r="AA18" s="58">
        <f>IF(EVProj5[[#This Row],[Chairs Needed]]-EVProj5[[#This Row],[Chairs Provided by the Vote Center]]&lt;0,0,EVProj5[[#This Row],[Chairs Needed]]-EVProj5[[#This Row],[Chairs Provided by the Vote Center]])</f>
        <v>0</v>
      </c>
    </row>
    <row r="19" spans="1:27">
      <c r="A19" s="58" t="s">
        <v>113</v>
      </c>
      <c r="B19" s="58" t="s">
        <v>162</v>
      </c>
      <c r="C19" s="30" t="s">
        <v>163</v>
      </c>
      <c r="D19" s="31" t="s">
        <v>164</v>
      </c>
      <c r="E19" s="58">
        <v>4</v>
      </c>
      <c r="F19" s="58">
        <v>11</v>
      </c>
      <c r="G19" s="58">
        <v>1</v>
      </c>
      <c r="H19" s="58">
        <v>1</v>
      </c>
      <c r="I19" s="58">
        <v>1</v>
      </c>
      <c r="J19" s="58">
        <f>SUM(EVProj5[[#This Row],[★ Hard Case Voting Machines]:[★ Curbside (Rollie) Voting Machines]])</f>
        <v>14</v>
      </c>
      <c r="K19" s="58">
        <v>1</v>
      </c>
      <c r="L19" s="58">
        <v>5</v>
      </c>
      <c r="M19" s="58">
        <v>6</v>
      </c>
      <c r="N19" s="58">
        <v>1</v>
      </c>
      <c r="O19" s="58">
        <v>1</v>
      </c>
      <c r="P19" s="58">
        <v>13</v>
      </c>
      <c r="Q19" s="58">
        <v>12</v>
      </c>
      <c r="R19" s="59">
        <v>8750</v>
      </c>
      <c r="S19" s="58">
        <v>35</v>
      </c>
      <c r="T19" s="59">
        <f>IF(EVProj5[[#This Row],[★ Ballot Cards]]&gt;10000,10000,EVProj5[[#This Row],[★ Ballot Cards]])</f>
        <v>8750</v>
      </c>
      <c r="U19" s="58">
        <f>EVProj5[[#This Row],[Ballot Cards (max 10k)]]/250</f>
        <v>35</v>
      </c>
      <c r="V19" s="58">
        <f>EVProj5[[#This Row],[★ E-Pollbooks]]+EVProj5[[#This Row],[★ Soft Case (ADA) Voting Machines]]</f>
        <v>5</v>
      </c>
      <c r="W19" s="58">
        <f>EVProj5[[#This Row],[Tables Needed]]</f>
        <v>5</v>
      </c>
      <c r="X19" s="58">
        <v>0</v>
      </c>
      <c r="Y19" s="58">
        <v>35</v>
      </c>
      <c r="Z19" s="58">
        <f>IF(EVProj5[[#This Row],[Tables Needed]]-EVProj5[[#This Row],[Tables Provided by the Vote Center]]&lt;0,0,EVProj5[[#This Row],[Tables Needed]]-EVProj5[[#This Row],[Tables Provided by the Vote Center]])</f>
        <v>5</v>
      </c>
      <c r="AA19" s="58">
        <f>IF(EVProj5[[#This Row],[Chairs Needed]]-EVProj5[[#This Row],[Chairs Provided by the Vote Center]]&lt;0,0,EVProj5[[#This Row],[Chairs Needed]]-EVProj5[[#This Row],[Chairs Provided by the Vote Center]])</f>
        <v>0</v>
      </c>
    </row>
    <row r="20" spans="1:27">
      <c r="A20" s="58" t="s">
        <v>113</v>
      </c>
      <c r="B20" s="58" t="s">
        <v>165</v>
      </c>
      <c r="C20" s="30" t="s">
        <v>166</v>
      </c>
      <c r="D20" s="31" t="s">
        <v>167</v>
      </c>
      <c r="E20" s="58">
        <v>4</v>
      </c>
      <c r="F20" s="58">
        <v>10</v>
      </c>
      <c r="G20" s="58">
        <v>1</v>
      </c>
      <c r="H20" s="58">
        <v>1</v>
      </c>
      <c r="I20" s="58">
        <v>1</v>
      </c>
      <c r="J20" s="58">
        <f>SUM(EVProj5[[#This Row],[★ Hard Case Voting Machines]:[★ Curbside (Rollie) Voting Machines]])</f>
        <v>13</v>
      </c>
      <c r="K20" s="58">
        <v>1</v>
      </c>
      <c r="L20" s="58">
        <v>4</v>
      </c>
      <c r="M20" s="58">
        <v>4</v>
      </c>
      <c r="N20" s="58">
        <v>1</v>
      </c>
      <c r="O20" s="58">
        <v>1</v>
      </c>
      <c r="P20" s="58">
        <v>10</v>
      </c>
      <c r="Q20" s="58">
        <v>11</v>
      </c>
      <c r="R20" s="59">
        <v>5000</v>
      </c>
      <c r="S20" s="58">
        <v>20</v>
      </c>
      <c r="T20" s="59">
        <f>IF(EVProj5[[#This Row],[★ Ballot Cards]]&gt;10000,10000,EVProj5[[#This Row],[★ Ballot Cards]])</f>
        <v>5000</v>
      </c>
      <c r="U20" s="58">
        <f>EVProj5[[#This Row],[Ballot Cards (max 10k)]]/250</f>
        <v>20</v>
      </c>
      <c r="V20" s="58">
        <f>EVProj5[[#This Row],[★ E-Pollbooks]]+EVProj5[[#This Row],[★ Soft Case (ADA) Voting Machines]]</f>
        <v>5</v>
      </c>
      <c r="W20" s="58">
        <f>EVProj5[[#This Row],[Tables Needed]]</f>
        <v>5</v>
      </c>
      <c r="X20" s="58">
        <v>15</v>
      </c>
      <c r="Y20" s="58">
        <v>30</v>
      </c>
      <c r="Z20" s="58">
        <f>IF(EVProj5[[#This Row],[Tables Needed]]-EVProj5[[#This Row],[Tables Provided by the Vote Center]]&lt;0,0,EVProj5[[#This Row],[Tables Needed]]-EVProj5[[#This Row],[Tables Provided by the Vote Center]])</f>
        <v>0</v>
      </c>
      <c r="AA20" s="58">
        <f>IF(EVProj5[[#This Row],[Chairs Needed]]-EVProj5[[#This Row],[Chairs Provided by the Vote Center]]&lt;0,0,EVProj5[[#This Row],[Chairs Needed]]-EVProj5[[#This Row],[Chairs Provided by the Vote Center]])</f>
        <v>0</v>
      </c>
    </row>
    <row r="21" spans="1:27">
      <c r="A21" s="58" t="s">
        <v>113</v>
      </c>
      <c r="B21" s="58" t="s">
        <v>16</v>
      </c>
      <c r="C21" s="65" t="s">
        <v>12</v>
      </c>
      <c r="D21" s="31" t="s">
        <v>13</v>
      </c>
      <c r="E21" s="58">
        <v>10</v>
      </c>
      <c r="F21" s="58">
        <v>23</v>
      </c>
      <c r="G21" s="58">
        <v>1</v>
      </c>
      <c r="H21" s="58">
        <v>2</v>
      </c>
      <c r="I21" s="58">
        <v>1</v>
      </c>
      <c r="J21" s="58">
        <f>SUM(EVProj5[[#This Row],[★ Hard Case Voting Machines]:[★ Curbside (Rollie) Voting Machines]])</f>
        <v>27</v>
      </c>
      <c r="K21" s="58">
        <v>1</v>
      </c>
      <c r="L21" s="58">
        <v>11</v>
      </c>
      <c r="M21" s="58">
        <v>12</v>
      </c>
      <c r="N21" s="58">
        <v>1</v>
      </c>
      <c r="O21" s="58">
        <v>1</v>
      </c>
      <c r="P21" s="58">
        <v>25</v>
      </c>
      <c r="Q21" s="58">
        <v>18</v>
      </c>
      <c r="R21" s="59">
        <v>27000</v>
      </c>
      <c r="S21" s="58">
        <v>108</v>
      </c>
      <c r="T21" s="59">
        <f>IF(EVProj5[[#This Row],[★ Ballot Cards]]&gt;10000,10000,EVProj5[[#This Row],[★ Ballot Cards]])</f>
        <v>10000</v>
      </c>
      <c r="U21" s="58">
        <f>EVProj5[[#This Row],[Ballot Cards (max 10k)]]/250</f>
        <v>40</v>
      </c>
      <c r="V21" s="58">
        <f>EVProj5[[#This Row],[★ E-Pollbooks]]+EVProj5[[#This Row],[★ Soft Case (ADA) Voting Machines]]</f>
        <v>11</v>
      </c>
      <c r="W21" s="58">
        <f>EVProj5[[#This Row],[Tables Needed]]</f>
        <v>11</v>
      </c>
      <c r="X21" s="58">
        <v>15</v>
      </c>
      <c r="Y21" s="58">
        <v>100</v>
      </c>
      <c r="Z21" s="58">
        <f>IF(EVProj5[[#This Row],[Tables Needed]]-EVProj5[[#This Row],[Tables Provided by the Vote Center]]&lt;0,0,EVProj5[[#This Row],[Tables Needed]]-EVProj5[[#This Row],[Tables Provided by the Vote Center]])</f>
        <v>0</v>
      </c>
      <c r="AA21" s="58">
        <f>IF(EVProj5[[#This Row],[Chairs Needed]]-EVProj5[[#This Row],[Chairs Provided by the Vote Center]]&lt;0,0,EVProj5[[#This Row],[Chairs Needed]]-EVProj5[[#This Row],[Chairs Provided by the Vote Center]])</f>
        <v>0</v>
      </c>
    </row>
    <row r="22" spans="1:27">
      <c r="A22" s="58" t="s">
        <v>113</v>
      </c>
      <c r="B22" s="58" t="s">
        <v>168</v>
      </c>
      <c r="C22" s="30" t="s">
        <v>169</v>
      </c>
      <c r="D22" s="31" t="s">
        <v>170</v>
      </c>
      <c r="E22" s="58">
        <v>10</v>
      </c>
      <c r="F22" s="58">
        <v>22</v>
      </c>
      <c r="G22" s="58">
        <v>1</v>
      </c>
      <c r="H22" s="58">
        <v>2</v>
      </c>
      <c r="I22" s="58">
        <v>1</v>
      </c>
      <c r="J22" s="58">
        <f>SUM(EVProj5[[#This Row],[★ Hard Case Voting Machines]:[★ Curbside (Rollie) Voting Machines]])</f>
        <v>26</v>
      </c>
      <c r="K22" s="58">
        <v>1</v>
      </c>
      <c r="L22" s="58">
        <v>13</v>
      </c>
      <c r="M22" s="58">
        <v>14</v>
      </c>
      <c r="N22" s="58">
        <v>1</v>
      </c>
      <c r="O22" s="58">
        <v>1</v>
      </c>
      <c r="P22" s="58">
        <v>29</v>
      </c>
      <c r="Q22" s="58">
        <v>18</v>
      </c>
      <c r="R22" s="59">
        <v>54500</v>
      </c>
      <c r="S22" s="58">
        <v>218</v>
      </c>
      <c r="T22" s="59">
        <f>IF(EVProj5[[#This Row],[★ Ballot Cards]]&gt;10000,10000,EVProj5[[#This Row],[★ Ballot Cards]])</f>
        <v>10000</v>
      </c>
      <c r="U22" s="58">
        <f>EVProj5[[#This Row],[Ballot Cards (max 10k)]]/250</f>
        <v>40</v>
      </c>
      <c r="V22" s="58">
        <f>EVProj5[[#This Row],[★ E-Pollbooks]]+EVProj5[[#This Row],[★ Soft Case (ADA) Voting Machines]]</f>
        <v>11</v>
      </c>
      <c r="W22" s="58">
        <f>EVProj5[[#This Row],[Tables Needed]]</f>
        <v>11</v>
      </c>
      <c r="X22" s="58">
        <v>0</v>
      </c>
      <c r="Y22" s="58">
        <v>0</v>
      </c>
      <c r="Z22" s="58">
        <f>IF(EVProj5[[#This Row],[Tables Needed]]-EVProj5[[#This Row],[Tables Provided by the Vote Center]]&lt;0,0,EVProj5[[#This Row],[Tables Needed]]-EVProj5[[#This Row],[Tables Provided by the Vote Center]])</f>
        <v>11</v>
      </c>
      <c r="AA22" s="58">
        <f>IF(EVProj5[[#This Row],[Chairs Needed]]-EVProj5[[#This Row],[Chairs Provided by the Vote Center]]&lt;0,0,EVProj5[[#This Row],[Chairs Needed]]-EVProj5[[#This Row],[Chairs Provided by the Vote Center]])</f>
        <v>11</v>
      </c>
    </row>
    <row r="23" spans="1:27">
      <c r="A23" s="58" t="s">
        <v>113</v>
      </c>
      <c r="B23" s="58" t="s">
        <v>171</v>
      </c>
      <c r="C23" s="30" t="s">
        <v>172</v>
      </c>
      <c r="D23" s="31" t="s">
        <v>173</v>
      </c>
      <c r="E23" s="58">
        <v>7</v>
      </c>
      <c r="F23" s="58">
        <v>27</v>
      </c>
      <c r="G23" s="58">
        <v>1</v>
      </c>
      <c r="H23" s="58">
        <v>2</v>
      </c>
      <c r="I23" s="58">
        <v>1</v>
      </c>
      <c r="J23" s="58">
        <f>SUM(EVProj5[[#This Row],[★ Hard Case Voting Machines]:[★ Curbside (Rollie) Voting Machines]])</f>
        <v>31</v>
      </c>
      <c r="K23" s="58">
        <v>1</v>
      </c>
      <c r="L23" s="58">
        <v>10</v>
      </c>
      <c r="M23" s="58">
        <v>11</v>
      </c>
      <c r="N23" s="58">
        <v>1</v>
      </c>
      <c r="O23" s="58">
        <v>1</v>
      </c>
      <c r="P23" s="58">
        <v>23</v>
      </c>
      <c r="Q23" s="58">
        <v>18</v>
      </c>
      <c r="R23" s="59">
        <v>23750</v>
      </c>
      <c r="S23" s="58">
        <v>95</v>
      </c>
      <c r="T23" s="59">
        <f>IF(EVProj5[[#This Row],[★ Ballot Cards]]&gt;10000,10000,EVProj5[[#This Row],[★ Ballot Cards]])</f>
        <v>10000</v>
      </c>
      <c r="U23" s="58">
        <f>EVProj5[[#This Row],[Ballot Cards (max 10k)]]/250</f>
        <v>40</v>
      </c>
      <c r="V23" s="58">
        <f>EVProj5[[#This Row],[★ E-Pollbooks]]+EVProj5[[#This Row],[★ Soft Case (ADA) Voting Machines]]</f>
        <v>8</v>
      </c>
      <c r="W23" s="58">
        <f>EVProj5[[#This Row],[Tables Needed]]</f>
        <v>8</v>
      </c>
      <c r="X23" s="58">
        <v>0</v>
      </c>
      <c r="Y23" s="58">
        <v>0</v>
      </c>
      <c r="Z23" s="58">
        <f>IF(EVProj5[[#This Row],[Tables Needed]]-EVProj5[[#This Row],[Tables Provided by the Vote Center]]&lt;0,0,EVProj5[[#This Row],[Tables Needed]]-EVProj5[[#This Row],[Tables Provided by the Vote Center]])</f>
        <v>8</v>
      </c>
      <c r="AA23" s="58">
        <f>IF(EVProj5[[#This Row],[Chairs Needed]]-EVProj5[[#This Row],[Chairs Provided by the Vote Center]]&lt;0,0,EVProj5[[#This Row],[Chairs Needed]]-EVProj5[[#This Row],[Chairs Provided by the Vote Center]])</f>
        <v>8</v>
      </c>
    </row>
    <row r="24" spans="1:27">
      <c r="A24" s="58" t="s">
        <v>113</v>
      </c>
      <c r="B24" s="58" t="s">
        <v>174</v>
      </c>
      <c r="C24" s="30" t="s">
        <v>175</v>
      </c>
      <c r="D24" s="31" t="s">
        <v>176</v>
      </c>
      <c r="E24" s="58">
        <v>6</v>
      </c>
      <c r="F24" s="58">
        <v>26</v>
      </c>
      <c r="G24" s="58">
        <v>1</v>
      </c>
      <c r="H24" s="58">
        <v>2</v>
      </c>
      <c r="I24" s="58">
        <v>1</v>
      </c>
      <c r="J24" s="58">
        <f>SUM(EVProj5[[#This Row],[★ Hard Case Voting Machines]:[★ Curbside (Rollie) Voting Machines]])</f>
        <v>30</v>
      </c>
      <c r="K24" s="58">
        <v>1</v>
      </c>
      <c r="L24" s="58">
        <v>10</v>
      </c>
      <c r="M24" s="58">
        <v>10</v>
      </c>
      <c r="N24" s="58">
        <v>1</v>
      </c>
      <c r="O24" s="58">
        <v>1</v>
      </c>
      <c r="P24" s="58">
        <v>22</v>
      </c>
      <c r="Q24" s="58">
        <v>17</v>
      </c>
      <c r="R24" s="59">
        <v>28500</v>
      </c>
      <c r="S24" s="58">
        <v>114</v>
      </c>
      <c r="T24" s="59">
        <f>IF(EVProj5[[#This Row],[★ Ballot Cards]]&gt;10000,10000,EVProj5[[#This Row],[★ Ballot Cards]])</f>
        <v>10000</v>
      </c>
      <c r="U24" s="58">
        <f>EVProj5[[#This Row],[Ballot Cards (max 10k)]]/250</f>
        <v>40</v>
      </c>
      <c r="V24" s="58">
        <f>EVProj5[[#This Row],[★ E-Pollbooks]]+EVProj5[[#This Row],[★ Soft Case (ADA) Voting Machines]]</f>
        <v>7</v>
      </c>
      <c r="W24" s="58">
        <f>EVProj5[[#This Row],[Tables Needed]]</f>
        <v>7</v>
      </c>
      <c r="X24" s="58">
        <v>4</v>
      </c>
      <c r="Y24" s="58">
        <v>12</v>
      </c>
      <c r="Z24" s="58">
        <f>IF(EVProj5[[#This Row],[Tables Needed]]-EVProj5[[#This Row],[Tables Provided by the Vote Center]]&lt;0,0,EVProj5[[#This Row],[Tables Needed]]-EVProj5[[#This Row],[Tables Provided by the Vote Center]])</f>
        <v>3</v>
      </c>
      <c r="AA24" s="58">
        <f>IF(EVProj5[[#This Row],[Chairs Needed]]-EVProj5[[#This Row],[Chairs Provided by the Vote Center]]&lt;0,0,EVProj5[[#This Row],[Chairs Needed]]-EVProj5[[#This Row],[Chairs Provided by the Vote Center]])</f>
        <v>0</v>
      </c>
    </row>
    <row r="25" spans="1:27">
      <c r="A25" s="58" t="s">
        <v>113</v>
      </c>
      <c r="B25" s="58" t="s">
        <v>177</v>
      </c>
      <c r="C25" s="30" t="s">
        <v>178</v>
      </c>
      <c r="D25" s="31" t="s">
        <v>179</v>
      </c>
      <c r="E25" s="58">
        <v>4</v>
      </c>
      <c r="F25" s="58">
        <v>11</v>
      </c>
      <c r="G25" s="58">
        <v>1</v>
      </c>
      <c r="H25" s="58">
        <v>1</v>
      </c>
      <c r="I25" s="58">
        <v>1</v>
      </c>
      <c r="J25" s="58">
        <f>SUM(EVProj5[[#This Row],[★ Hard Case Voting Machines]:[★ Curbside (Rollie) Voting Machines]])</f>
        <v>14</v>
      </c>
      <c r="K25" s="58">
        <v>1</v>
      </c>
      <c r="L25" s="58">
        <v>4</v>
      </c>
      <c r="M25" s="58">
        <v>5</v>
      </c>
      <c r="N25" s="58">
        <v>1</v>
      </c>
      <c r="O25" s="58">
        <v>1</v>
      </c>
      <c r="P25" s="58">
        <v>11</v>
      </c>
      <c r="Q25" s="58">
        <v>11</v>
      </c>
      <c r="R25" s="59">
        <v>7250</v>
      </c>
      <c r="S25" s="58">
        <v>29</v>
      </c>
      <c r="T25" s="59">
        <f>IF(EVProj5[[#This Row],[★ Ballot Cards]]&gt;10000,10000,EVProj5[[#This Row],[★ Ballot Cards]])</f>
        <v>7250</v>
      </c>
      <c r="U25" s="58">
        <f>EVProj5[[#This Row],[Ballot Cards (max 10k)]]/250</f>
        <v>29</v>
      </c>
      <c r="V25" s="58">
        <f>EVProj5[[#This Row],[★ E-Pollbooks]]+EVProj5[[#This Row],[★ Soft Case (ADA) Voting Machines]]</f>
        <v>5</v>
      </c>
      <c r="W25" s="58">
        <f>EVProj5[[#This Row],[Tables Needed]]</f>
        <v>5</v>
      </c>
      <c r="X25" s="58">
        <v>0</v>
      </c>
      <c r="Y25" s="58">
        <v>0</v>
      </c>
      <c r="Z25" s="58">
        <f>IF(EVProj5[[#This Row],[Tables Needed]]-EVProj5[[#This Row],[Tables Provided by the Vote Center]]&lt;0,0,EVProj5[[#This Row],[Tables Needed]]-EVProj5[[#This Row],[Tables Provided by the Vote Center]])</f>
        <v>5</v>
      </c>
      <c r="AA25" s="58">
        <f>IF(EVProj5[[#This Row],[Chairs Needed]]-EVProj5[[#This Row],[Chairs Provided by the Vote Center]]&lt;0,0,EVProj5[[#This Row],[Chairs Needed]]-EVProj5[[#This Row],[Chairs Provided by the Vote Center]])</f>
        <v>5</v>
      </c>
    </row>
    <row r="26" spans="1:27">
      <c r="A26" s="58" t="s">
        <v>113</v>
      </c>
      <c r="B26" s="58" t="s">
        <v>180</v>
      </c>
      <c r="C26" s="30" t="s">
        <v>181</v>
      </c>
      <c r="D26" s="31" t="s">
        <v>182</v>
      </c>
      <c r="E26" s="58">
        <v>4</v>
      </c>
      <c r="F26" s="58">
        <v>8</v>
      </c>
      <c r="G26" s="58">
        <v>1</v>
      </c>
      <c r="H26" s="58">
        <v>1</v>
      </c>
      <c r="I26" s="58">
        <v>1</v>
      </c>
      <c r="J26" s="58">
        <f>SUM(EVProj5[[#This Row],[★ Hard Case Voting Machines]:[★ Curbside (Rollie) Voting Machines]])</f>
        <v>11</v>
      </c>
      <c r="K26" s="58">
        <v>1</v>
      </c>
      <c r="L26" s="58">
        <v>4</v>
      </c>
      <c r="M26" s="58">
        <v>5</v>
      </c>
      <c r="N26" s="58">
        <v>1</v>
      </c>
      <c r="O26" s="58">
        <v>1</v>
      </c>
      <c r="P26" s="58">
        <v>11</v>
      </c>
      <c r="Q26" s="58">
        <v>10</v>
      </c>
      <c r="R26" s="59">
        <v>4500</v>
      </c>
      <c r="S26" s="58">
        <v>18</v>
      </c>
      <c r="T26" s="59">
        <f>IF(EVProj5[[#This Row],[★ Ballot Cards]]&gt;10000,10000,EVProj5[[#This Row],[★ Ballot Cards]])</f>
        <v>4500</v>
      </c>
      <c r="U26" s="58">
        <f>EVProj5[[#This Row],[Ballot Cards (max 10k)]]/250</f>
        <v>18</v>
      </c>
      <c r="V26" s="58">
        <f>EVProj5[[#This Row],[★ E-Pollbooks]]+EVProj5[[#This Row],[★ Soft Case (ADA) Voting Machines]]</f>
        <v>5</v>
      </c>
      <c r="W26" s="58">
        <f>EVProj5[[#This Row],[Tables Needed]]</f>
        <v>5</v>
      </c>
      <c r="X26" s="58">
        <v>0</v>
      </c>
      <c r="Y26" s="58">
        <v>0</v>
      </c>
      <c r="Z26" s="58">
        <f>IF(EVProj5[[#This Row],[Tables Needed]]-EVProj5[[#This Row],[Tables Provided by the Vote Center]]&lt;0,0,EVProj5[[#This Row],[Tables Needed]]-EVProj5[[#This Row],[Tables Provided by the Vote Center]])</f>
        <v>5</v>
      </c>
      <c r="AA26" s="58">
        <f>IF(EVProj5[[#This Row],[Chairs Needed]]-EVProj5[[#This Row],[Chairs Provided by the Vote Center]]&lt;0,0,EVProj5[[#This Row],[Chairs Needed]]-EVProj5[[#This Row],[Chairs Provided by the Vote Center]])</f>
        <v>5</v>
      </c>
    </row>
    <row r="27" spans="1:27">
      <c r="A27" s="58" t="s">
        <v>113</v>
      </c>
      <c r="B27" s="58" t="s">
        <v>183</v>
      </c>
      <c r="C27" s="30" t="s">
        <v>184</v>
      </c>
      <c r="D27" s="31" t="s">
        <v>185</v>
      </c>
      <c r="E27" s="58">
        <v>5</v>
      </c>
      <c r="F27" s="58">
        <v>17</v>
      </c>
      <c r="G27" s="58">
        <v>1</v>
      </c>
      <c r="H27" s="58">
        <v>1</v>
      </c>
      <c r="I27" s="58">
        <v>1</v>
      </c>
      <c r="J27" s="58">
        <f>SUM(EVProj5[[#This Row],[★ Hard Case Voting Machines]:[★ Curbside (Rollie) Voting Machines]])</f>
        <v>20</v>
      </c>
      <c r="K27" s="58">
        <v>1</v>
      </c>
      <c r="L27" s="58">
        <v>6</v>
      </c>
      <c r="M27" s="58">
        <v>7</v>
      </c>
      <c r="N27" s="58">
        <v>1</v>
      </c>
      <c r="O27" s="58">
        <v>1</v>
      </c>
      <c r="P27" s="58">
        <v>15</v>
      </c>
      <c r="Q27" s="58">
        <v>14</v>
      </c>
      <c r="R27" s="59">
        <v>10250</v>
      </c>
      <c r="S27" s="58">
        <v>41</v>
      </c>
      <c r="T27" s="59">
        <f>IF(EVProj5[[#This Row],[★ Ballot Cards]]&gt;10000,10000,EVProj5[[#This Row],[★ Ballot Cards]])</f>
        <v>10000</v>
      </c>
      <c r="U27" s="58">
        <f>EVProj5[[#This Row],[Ballot Cards (max 10k)]]/250</f>
        <v>40</v>
      </c>
      <c r="V27" s="58">
        <f>EVProj5[[#This Row],[★ E-Pollbooks]]+EVProj5[[#This Row],[★ Soft Case (ADA) Voting Machines]]</f>
        <v>6</v>
      </c>
      <c r="W27" s="58">
        <f>EVProj5[[#This Row],[Tables Needed]]</f>
        <v>6</v>
      </c>
      <c r="X27" s="58">
        <v>30</v>
      </c>
      <c r="Y27" s="58">
        <v>250</v>
      </c>
      <c r="Z27" s="58">
        <f>IF(EVProj5[[#This Row],[Tables Needed]]-EVProj5[[#This Row],[Tables Provided by the Vote Center]]&lt;0,0,EVProj5[[#This Row],[Tables Needed]]-EVProj5[[#This Row],[Tables Provided by the Vote Center]])</f>
        <v>0</v>
      </c>
      <c r="AA27" s="58">
        <f>IF(EVProj5[[#This Row],[Chairs Needed]]-EVProj5[[#This Row],[Chairs Provided by the Vote Center]]&lt;0,0,EVProj5[[#This Row],[Chairs Needed]]-EVProj5[[#This Row],[Chairs Provided by the Vote Center]])</f>
        <v>0</v>
      </c>
    </row>
    <row r="28" spans="1:27">
      <c r="A28" s="58" t="s">
        <v>113</v>
      </c>
      <c r="B28" s="58" t="s">
        <v>186</v>
      </c>
      <c r="C28" s="65" t="s">
        <v>187</v>
      </c>
      <c r="D28" s="31" t="s">
        <v>188</v>
      </c>
      <c r="E28" s="58">
        <v>4</v>
      </c>
      <c r="F28" s="58">
        <v>10</v>
      </c>
      <c r="G28" s="58">
        <v>1</v>
      </c>
      <c r="H28" s="58">
        <v>1</v>
      </c>
      <c r="I28" s="58">
        <v>1</v>
      </c>
      <c r="J28" s="58">
        <f>SUM(EVProj5[[#This Row],[★ Hard Case Voting Machines]:[★ Curbside (Rollie) Voting Machines]])</f>
        <v>13</v>
      </c>
      <c r="K28" s="58">
        <v>1</v>
      </c>
      <c r="L28" s="58">
        <v>4</v>
      </c>
      <c r="M28" s="58">
        <v>5</v>
      </c>
      <c r="N28" s="58">
        <v>1</v>
      </c>
      <c r="O28" s="58">
        <v>1</v>
      </c>
      <c r="P28" s="58">
        <v>11</v>
      </c>
      <c r="Q28" s="58">
        <v>11</v>
      </c>
      <c r="R28" s="59">
        <v>4250</v>
      </c>
      <c r="S28" s="58">
        <v>17</v>
      </c>
      <c r="T28" s="59">
        <f>IF(EVProj5[[#This Row],[★ Ballot Cards]]&gt;10000,10000,EVProj5[[#This Row],[★ Ballot Cards]])</f>
        <v>4250</v>
      </c>
      <c r="U28" s="58">
        <f>EVProj5[[#This Row],[Ballot Cards (max 10k)]]/250</f>
        <v>17</v>
      </c>
      <c r="V28" s="58">
        <f>EVProj5[[#This Row],[★ E-Pollbooks]]+EVProj5[[#This Row],[★ Soft Case (ADA) Voting Machines]]</f>
        <v>5</v>
      </c>
      <c r="W28" s="58">
        <f>EVProj5[[#This Row],[Tables Needed]]</f>
        <v>5</v>
      </c>
      <c r="X28" s="58">
        <v>0</v>
      </c>
      <c r="Y28" s="58">
        <v>0</v>
      </c>
      <c r="Z28" s="58">
        <f>IF(EVProj5[[#This Row],[Tables Needed]]-EVProj5[[#This Row],[Tables Provided by the Vote Center]]&lt;0,0,EVProj5[[#This Row],[Tables Needed]]-EVProj5[[#This Row],[Tables Provided by the Vote Center]])</f>
        <v>5</v>
      </c>
      <c r="AA28" s="58">
        <f>IF(EVProj5[[#This Row],[Chairs Needed]]-EVProj5[[#This Row],[Chairs Provided by the Vote Center]]&lt;0,0,EVProj5[[#This Row],[Chairs Needed]]-EVProj5[[#This Row],[Chairs Provided by the Vote Center]])</f>
        <v>5</v>
      </c>
    </row>
    <row r="29" spans="1:27">
      <c r="A29" s="58" t="s">
        <v>113</v>
      </c>
      <c r="B29" s="58" t="s">
        <v>189</v>
      </c>
      <c r="C29" s="30" t="s">
        <v>190</v>
      </c>
      <c r="D29" s="31" t="s">
        <v>191</v>
      </c>
      <c r="E29" s="58">
        <v>5</v>
      </c>
      <c r="F29" s="58">
        <v>17</v>
      </c>
      <c r="G29" s="58">
        <v>1</v>
      </c>
      <c r="H29" s="58">
        <v>1</v>
      </c>
      <c r="I29" s="58">
        <v>1</v>
      </c>
      <c r="J29" s="58">
        <f>SUM(EVProj5[[#This Row],[★ Hard Case Voting Machines]:[★ Curbside (Rollie) Voting Machines]])</f>
        <v>20</v>
      </c>
      <c r="K29" s="58">
        <v>1</v>
      </c>
      <c r="L29" s="58">
        <v>6</v>
      </c>
      <c r="M29" s="58">
        <v>7</v>
      </c>
      <c r="N29" s="58">
        <v>1</v>
      </c>
      <c r="O29" s="58">
        <v>1</v>
      </c>
      <c r="P29" s="58">
        <v>15</v>
      </c>
      <c r="Q29" s="58">
        <v>14</v>
      </c>
      <c r="R29" s="59">
        <v>10000</v>
      </c>
      <c r="S29" s="58">
        <v>40</v>
      </c>
      <c r="T29" s="59">
        <f>IF(EVProj5[[#This Row],[★ Ballot Cards]]&gt;10000,10000,EVProj5[[#This Row],[★ Ballot Cards]])</f>
        <v>10000</v>
      </c>
      <c r="U29" s="58">
        <f>EVProj5[[#This Row],[Ballot Cards (max 10k)]]/250</f>
        <v>40</v>
      </c>
      <c r="V29" s="58">
        <f>EVProj5[[#This Row],[★ E-Pollbooks]]+EVProj5[[#This Row],[★ Soft Case (ADA) Voting Machines]]</f>
        <v>6</v>
      </c>
      <c r="W29" s="58">
        <f>EVProj5[[#This Row],[Tables Needed]]</f>
        <v>6</v>
      </c>
      <c r="X29" s="58">
        <v>0</v>
      </c>
      <c r="Y29" s="58">
        <v>0</v>
      </c>
      <c r="Z29" s="58">
        <f>IF(EVProj5[[#This Row],[Tables Needed]]-EVProj5[[#This Row],[Tables Provided by the Vote Center]]&lt;0,0,EVProj5[[#This Row],[Tables Needed]]-EVProj5[[#This Row],[Tables Provided by the Vote Center]])</f>
        <v>6</v>
      </c>
      <c r="AA29" s="58">
        <f>IF(EVProj5[[#This Row],[Chairs Needed]]-EVProj5[[#This Row],[Chairs Provided by the Vote Center]]&lt;0,0,EVProj5[[#This Row],[Chairs Needed]]-EVProj5[[#This Row],[Chairs Provided by the Vote Center]])</f>
        <v>6</v>
      </c>
    </row>
    <row r="30" spans="1:27">
      <c r="A30" s="58" t="s">
        <v>113</v>
      </c>
      <c r="B30" s="58" t="s">
        <v>192</v>
      </c>
      <c r="C30" s="30" t="s">
        <v>193</v>
      </c>
      <c r="D30" s="31" t="s">
        <v>194</v>
      </c>
      <c r="E30" s="58">
        <v>4</v>
      </c>
      <c r="F30" s="58">
        <v>11</v>
      </c>
      <c r="G30" s="58">
        <v>1</v>
      </c>
      <c r="H30" s="58">
        <v>1</v>
      </c>
      <c r="I30" s="58">
        <v>1</v>
      </c>
      <c r="J30" s="58">
        <f>SUM(EVProj5[[#This Row],[★ Hard Case Voting Machines]:[★ Curbside (Rollie) Voting Machines]])</f>
        <v>14</v>
      </c>
      <c r="K30" s="58">
        <v>1</v>
      </c>
      <c r="L30" s="58">
        <v>5</v>
      </c>
      <c r="M30" s="58">
        <v>6</v>
      </c>
      <c r="N30" s="58">
        <v>1</v>
      </c>
      <c r="O30" s="58">
        <v>1</v>
      </c>
      <c r="P30" s="58">
        <v>13</v>
      </c>
      <c r="Q30" s="58">
        <v>12</v>
      </c>
      <c r="R30" s="59">
        <v>8000</v>
      </c>
      <c r="S30" s="58">
        <v>32</v>
      </c>
      <c r="T30" s="59">
        <f>IF(EVProj5[[#This Row],[★ Ballot Cards]]&gt;10000,10000,EVProj5[[#This Row],[★ Ballot Cards]])</f>
        <v>8000</v>
      </c>
      <c r="U30" s="58">
        <f>EVProj5[[#This Row],[Ballot Cards (max 10k)]]/250</f>
        <v>32</v>
      </c>
      <c r="V30" s="58">
        <f>EVProj5[[#This Row],[★ E-Pollbooks]]+EVProj5[[#This Row],[★ Soft Case (ADA) Voting Machines]]</f>
        <v>5</v>
      </c>
      <c r="W30" s="58">
        <f>EVProj5[[#This Row],[Tables Needed]]</f>
        <v>5</v>
      </c>
      <c r="X30" s="58">
        <v>0</v>
      </c>
      <c r="Y30" s="58">
        <v>0</v>
      </c>
      <c r="Z30" s="58">
        <f>IF(EVProj5[[#This Row],[Tables Needed]]-EVProj5[[#This Row],[Tables Provided by the Vote Center]]&lt;0,0,EVProj5[[#This Row],[Tables Needed]]-EVProj5[[#This Row],[Tables Provided by the Vote Center]])</f>
        <v>5</v>
      </c>
      <c r="AA30" s="58">
        <f>IF(EVProj5[[#This Row],[Chairs Needed]]-EVProj5[[#This Row],[Chairs Provided by the Vote Center]]&lt;0,0,EVProj5[[#This Row],[Chairs Needed]]-EVProj5[[#This Row],[Chairs Provided by the Vote Center]])</f>
        <v>5</v>
      </c>
    </row>
    <row r="31" spans="1:27">
      <c r="A31" s="58" t="s">
        <v>113</v>
      </c>
      <c r="B31" s="58" t="s">
        <v>195</v>
      </c>
      <c r="C31" s="30" t="s">
        <v>196</v>
      </c>
      <c r="D31" s="31" t="s">
        <v>197</v>
      </c>
      <c r="E31" s="58">
        <v>4</v>
      </c>
      <c r="F31" s="58">
        <v>7</v>
      </c>
      <c r="G31" s="58">
        <v>1</v>
      </c>
      <c r="H31" s="58">
        <v>1</v>
      </c>
      <c r="I31" s="58">
        <v>1</v>
      </c>
      <c r="J31" s="58">
        <f>SUM(EVProj5[[#This Row],[★ Hard Case Voting Machines]:[★ Curbside (Rollie) Voting Machines]])</f>
        <v>10</v>
      </c>
      <c r="K31" s="58">
        <v>1</v>
      </c>
      <c r="L31" s="58">
        <v>4</v>
      </c>
      <c r="M31" s="58">
        <v>4</v>
      </c>
      <c r="N31" s="58">
        <v>1</v>
      </c>
      <c r="O31" s="58">
        <v>1</v>
      </c>
      <c r="P31" s="58">
        <v>10</v>
      </c>
      <c r="Q31" s="58">
        <v>10</v>
      </c>
      <c r="R31" s="59">
        <v>2250</v>
      </c>
      <c r="S31" s="58">
        <v>9</v>
      </c>
      <c r="T31" s="59">
        <f>IF(EVProj5[[#This Row],[★ Ballot Cards]]&gt;10000,10000,EVProj5[[#This Row],[★ Ballot Cards]])</f>
        <v>2250</v>
      </c>
      <c r="U31" s="58">
        <f>EVProj5[[#This Row],[Ballot Cards (max 10k)]]/250</f>
        <v>9</v>
      </c>
      <c r="V31" s="58">
        <f>EVProj5[[#This Row],[★ E-Pollbooks]]+EVProj5[[#This Row],[★ Soft Case (ADA) Voting Machines]]</f>
        <v>5</v>
      </c>
      <c r="W31" s="58">
        <f>EVProj5[[#This Row],[Tables Needed]]</f>
        <v>5</v>
      </c>
      <c r="X31" s="58">
        <v>4</v>
      </c>
      <c r="Y31" s="58">
        <v>10</v>
      </c>
      <c r="Z31" s="58">
        <f>IF(EVProj5[[#This Row],[Tables Needed]]-EVProj5[[#This Row],[Tables Provided by the Vote Center]]&lt;0,0,EVProj5[[#This Row],[Tables Needed]]-EVProj5[[#This Row],[Tables Provided by the Vote Center]])</f>
        <v>1</v>
      </c>
      <c r="AA31" s="58">
        <f>IF(EVProj5[[#This Row],[Chairs Needed]]-EVProj5[[#This Row],[Chairs Provided by the Vote Center]]&lt;0,0,EVProj5[[#This Row],[Chairs Needed]]-EVProj5[[#This Row],[Chairs Provided by the Vote Center]])</f>
        <v>0</v>
      </c>
    </row>
    <row r="32" spans="1:27">
      <c r="A32" s="58" t="s">
        <v>113</v>
      </c>
      <c r="B32" s="58" t="s">
        <v>198</v>
      </c>
      <c r="C32" s="30" t="s">
        <v>199</v>
      </c>
      <c r="D32" s="31" t="s">
        <v>200</v>
      </c>
      <c r="E32" s="58">
        <v>7</v>
      </c>
      <c r="F32" s="58">
        <v>22</v>
      </c>
      <c r="G32" s="58">
        <v>1</v>
      </c>
      <c r="H32" s="58">
        <v>1</v>
      </c>
      <c r="I32" s="58">
        <v>1</v>
      </c>
      <c r="J32" s="58">
        <f>SUM(EVProj5[[#This Row],[★ Hard Case Voting Machines]:[★ Curbside (Rollie) Voting Machines]])</f>
        <v>25</v>
      </c>
      <c r="K32" s="58">
        <v>1</v>
      </c>
      <c r="L32" s="58">
        <v>7</v>
      </c>
      <c r="M32" s="58">
        <v>8</v>
      </c>
      <c r="N32" s="58">
        <v>1</v>
      </c>
      <c r="O32" s="58">
        <v>1</v>
      </c>
      <c r="P32" s="58">
        <v>17</v>
      </c>
      <c r="Q32" s="58">
        <v>17</v>
      </c>
      <c r="R32" s="59">
        <v>13000</v>
      </c>
      <c r="S32" s="58">
        <v>52</v>
      </c>
      <c r="T32" s="59">
        <f>IF(EVProj5[[#This Row],[★ Ballot Cards]]&gt;10000,10000,EVProj5[[#This Row],[★ Ballot Cards]])</f>
        <v>10000</v>
      </c>
      <c r="U32" s="58">
        <f>EVProj5[[#This Row],[Ballot Cards (max 10k)]]/250</f>
        <v>40</v>
      </c>
      <c r="V32" s="58">
        <f>EVProj5[[#This Row],[★ E-Pollbooks]]+EVProj5[[#This Row],[★ Soft Case (ADA) Voting Machines]]</f>
        <v>8</v>
      </c>
      <c r="W32" s="58">
        <f>EVProj5[[#This Row],[Tables Needed]]</f>
        <v>8</v>
      </c>
      <c r="X32" s="58">
        <v>5</v>
      </c>
      <c r="Y32" s="58">
        <v>6</v>
      </c>
      <c r="Z32" s="58">
        <f>IF(EVProj5[[#This Row],[Tables Needed]]-EVProj5[[#This Row],[Tables Provided by the Vote Center]]&lt;0,0,EVProj5[[#This Row],[Tables Needed]]-EVProj5[[#This Row],[Tables Provided by the Vote Center]])</f>
        <v>3</v>
      </c>
      <c r="AA32" s="58">
        <f>IF(EVProj5[[#This Row],[Chairs Needed]]-EVProj5[[#This Row],[Chairs Provided by the Vote Center]]&lt;0,0,EVProj5[[#This Row],[Chairs Needed]]-EVProj5[[#This Row],[Chairs Provided by the Vote Center]])</f>
        <v>2</v>
      </c>
    </row>
    <row r="33" spans="1:27">
      <c r="A33" s="58" t="s">
        <v>113</v>
      </c>
      <c r="B33" s="58" t="s">
        <v>201</v>
      </c>
      <c r="C33" s="30" t="s">
        <v>202</v>
      </c>
      <c r="D33" s="31" t="s">
        <v>203</v>
      </c>
      <c r="E33" s="58">
        <v>10</v>
      </c>
      <c r="F33" s="58">
        <v>20</v>
      </c>
      <c r="G33" s="66">
        <v>3</v>
      </c>
      <c r="H33" s="58">
        <v>2</v>
      </c>
      <c r="I33" s="58">
        <v>1</v>
      </c>
      <c r="J33" s="58">
        <f>SUM(EVProj5[[#This Row],[★ Hard Case Voting Machines]:[★ Curbside (Rollie) Voting Machines]])</f>
        <v>26</v>
      </c>
      <c r="K33" s="58">
        <v>1</v>
      </c>
      <c r="L33" s="58">
        <v>12</v>
      </c>
      <c r="M33" s="58">
        <v>13</v>
      </c>
      <c r="N33" s="58">
        <v>1</v>
      </c>
      <c r="O33" s="58">
        <v>1</v>
      </c>
      <c r="P33" s="58">
        <v>27</v>
      </c>
      <c r="Q33" s="58">
        <v>18</v>
      </c>
      <c r="R33" s="59">
        <v>40000</v>
      </c>
      <c r="S33" s="58">
        <v>160</v>
      </c>
      <c r="T33" s="59">
        <f>IF(EVProj5[[#This Row],[★ Ballot Cards]]&gt;10000,10000,EVProj5[[#This Row],[★ Ballot Cards]])</f>
        <v>10000</v>
      </c>
      <c r="U33" s="58">
        <f>EVProj5[[#This Row],[Ballot Cards (max 10k)]]/250</f>
        <v>40</v>
      </c>
      <c r="V33" s="58">
        <f>EVProj5[[#This Row],[★ E-Pollbooks]]+EVProj5[[#This Row],[★ Soft Case (ADA) Voting Machines]]</f>
        <v>13</v>
      </c>
      <c r="W33" s="58">
        <f>EVProj5[[#This Row],[Tables Needed]]</f>
        <v>13</v>
      </c>
      <c r="X33" s="58">
        <v>12</v>
      </c>
      <c r="Y33" s="58">
        <v>6</v>
      </c>
      <c r="Z33" s="58">
        <f>IF(EVProj5[[#This Row],[Tables Needed]]-EVProj5[[#This Row],[Tables Provided by the Vote Center]]&lt;0,0,EVProj5[[#This Row],[Tables Needed]]-EVProj5[[#This Row],[Tables Provided by the Vote Center]])</f>
        <v>1</v>
      </c>
      <c r="AA33" s="58">
        <f>IF(EVProj5[[#This Row],[Chairs Needed]]-EVProj5[[#This Row],[Chairs Provided by the Vote Center]]&lt;0,0,EVProj5[[#This Row],[Chairs Needed]]-EVProj5[[#This Row],[Chairs Provided by the Vote Center]])</f>
        <v>7</v>
      </c>
    </row>
    <row r="34" spans="1:27">
      <c r="A34" s="58" t="s">
        <v>113</v>
      </c>
      <c r="B34" s="58" t="s">
        <v>204</v>
      </c>
      <c r="C34" s="30" t="s">
        <v>205</v>
      </c>
      <c r="D34" s="31" t="s">
        <v>206</v>
      </c>
      <c r="E34" s="58">
        <v>4</v>
      </c>
      <c r="F34" s="58">
        <v>9</v>
      </c>
      <c r="G34" s="58">
        <v>1</v>
      </c>
      <c r="H34" s="58">
        <v>1</v>
      </c>
      <c r="I34" s="58">
        <v>1</v>
      </c>
      <c r="J34" s="58">
        <f>SUM(EVProj5[[#This Row],[★ Hard Case Voting Machines]:[★ Curbside (Rollie) Voting Machines]])</f>
        <v>12</v>
      </c>
      <c r="K34" s="58">
        <v>1</v>
      </c>
      <c r="L34" s="58">
        <v>4</v>
      </c>
      <c r="M34" s="58">
        <v>4</v>
      </c>
      <c r="N34" s="58">
        <v>1</v>
      </c>
      <c r="O34" s="58">
        <v>1</v>
      </c>
      <c r="P34" s="58">
        <v>10</v>
      </c>
      <c r="Q34" s="58">
        <v>11</v>
      </c>
      <c r="R34" s="59">
        <v>5500</v>
      </c>
      <c r="S34" s="58">
        <v>22</v>
      </c>
      <c r="T34" s="59">
        <f>IF(EVProj5[[#This Row],[★ Ballot Cards]]&gt;10000,10000,EVProj5[[#This Row],[★ Ballot Cards]])</f>
        <v>5500</v>
      </c>
      <c r="U34" s="58">
        <f>EVProj5[[#This Row],[Ballot Cards (max 10k)]]/250</f>
        <v>22</v>
      </c>
      <c r="V34" s="58">
        <f>EVProj5[[#This Row],[★ E-Pollbooks]]+EVProj5[[#This Row],[★ Soft Case (ADA) Voting Machines]]</f>
        <v>5</v>
      </c>
      <c r="W34" s="58">
        <f>EVProj5[[#This Row],[Tables Needed]]</f>
        <v>5</v>
      </c>
      <c r="X34" s="58">
        <v>10</v>
      </c>
      <c r="Y34" s="58">
        <v>20</v>
      </c>
      <c r="Z34" s="58">
        <f>IF(EVProj5[[#This Row],[Tables Needed]]-EVProj5[[#This Row],[Tables Provided by the Vote Center]]&lt;0,0,EVProj5[[#This Row],[Tables Needed]]-EVProj5[[#This Row],[Tables Provided by the Vote Center]])</f>
        <v>0</v>
      </c>
      <c r="AA34" s="58">
        <f>IF(EVProj5[[#This Row],[Chairs Needed]]-EVProj5[[#This Row],[Chairs Provided by the Vote Center]]&lt;0,0,EVProj5[[#This Row],[Chairs Needed]]-EVProj5[[#This Row],[Chairs Provided by the Vote Center]])</f>
        <v>0</v>
      </c>
    </row>
    <row r="35" spans="1:27">
      <c r="A35" s="58" t="s">
        <v>113</v>
      </c>
      <c r="B35" s="58" t="s">
        <v>207</v>
      </c>
      <c r="C35" s="30" t="s">
        <v>208</v>
      </c>
      <c r="D35" s="31" t="s">
        <v>209</v>
      </c>
      <c r="E35" s="58">
        <v>4</v>
      </c>
      <c r="F35" s="58">
        <v>10</v>
      </c>
      <c r="G35" s="58">
        <v>1</v>
      </c>
      <c r="H35" s="58">
        <v>1</v>
      </c>
      <c r="I35" s="58">
        <v>1</v>
      </c>
      <c r="J35" s="58">
        <f>SUM(EVProj5[[#This Row],[★ Hard Case Voting Machines]:[★ Curbside (Rollie) Voting Machines]])</f>
        <v>13</v>
      </c>
      <c r="K35" s="58">
        <v>1</v>
      </c>
      <c r="L35" s="58">
        <v>4</v>
      </c>
      <c r="M35" s="58">
        <v>4</v>
      </c>
      <c r="N35" s="58">
        <v>1</v>
      </c>
      <c r="O35" s="58">
        <v>1</v>
      </c>
      <c r="P35" s="58">
        <v>10</v>
      </c>
      <c r="Q35" s="58">
        <v>10</v>
      </c>
      <c r="R35" s="59">
        <v>3750</v>
      </c>
      <c r="S35" s="58">
        <v>15</v>
      </c>
      <c r="T35" s="59">
        <f>IF(EVProj5[[#This Row],[★ Ballot Cards]]&gt;10000,10000,EVProj5[[#This Row],[★ Ballot Cards]])</f>
        <v>3750</v>
      </c>
      <c r="U35" s="58">
        <f>EVProj5[[#This Row],[Ballot Cards (max 10k)]]/250</f>
        <v>15</v>
      </c>
      <c r="V35" s="58">
        <f>EVProj5[[#This Row],[★ E-Pollbooks]]+EVProj5[[#This Row],[★ Soft Case (ADA) Voting Machines]]</f>
        <v>5</v>
      </c>
      <c r="W35" s="58">
        <f>EVProj5[[#This Row],[Tables Needed]]</f>
        <v>5</v>
      </c>
      <c r="X35" s="58">
        <v>0</v>
      </c>
      <c r="Y35" s="58">
        <v>0</v>
      </c>
      <c r="Z35" s="58">
        <f>IF(EVProj5[[#This Row],[Tables Needed]]-EVProj5[[#This Row],[Tables Provided by the Vote Center]]&lt;0,0,EVProj5[[#This Row],[Tables Needed]]-EVProj5[[#This Row],[Tables Provided by the Vote Center]])</f>
        <v>5</v>
      </c>
      <c r="AA35" s="58">
        <f>IF(EVProj5[[#This Row],[Chairs Needed]]-EVProj5[[#This Row],[Chairs Provided by the Vote Center]]&lt;0,0,EVProj5[[#This Row],[Chairs Needed]]-EVProj5[[#This Row],[Chairs Provided by the Vote Center]])</f>
        <v>5</v>
      </c>
    </row>
    <row r="36" spans="1:27">
      <c r="A36" s="58" t="s">
        <v>113</v>
      </c>
      <c r="B36" s="58" t="s">
        <v>210</v>
      </c>
      <c r="C36" s="30" t="s">
        <v>211</v>
      </c>
      <c r="D36" s="31" t="s">
        <v>212</v>
      </c>
      <c r="E36" s="58">
        <v>7</v>
      </c>
      <c r="F36" s="58">
        <v>20</v>
      </c>
      <c r="G36" s="58">
        <v>1</v>
      </c>
      <c r="H36" s="58">
        <v>2</v>
      </c>
      <c r="I36" s="58">
        <v>0</v>
      </c>
      <c r="J36" s="58">
        <f>SUM(EVProj5[[#This Row],[★ Hard Case Voting Machines]:[★ Curbside (Rollie) Voting Machines]])</f>
        <v>23</v>
      </c>
      <c r="K36" s="58">
        <v>1</v>
      </c>
      <c r="L36" s="58">
        <v>8</v>
      </c>
      <c r="M36" s="58">
        <v>9</v>
      </c>
      <c r="N36" s="58">
        <v>1</v>
      </c>
      <c r="O36" s="58">
        <v>1</v>
      </c>
      <c r="P36" s="58">
        <v>19</v>
      </c>
      <c r="Q36" s="58">
        <v>15</v>
      </c>
      <c r="R36" s="59">
        <v>24000</v>
      </c>
      <c r="S36" s="58">
        <v>96</v>
      </c>
      <c r="T36" s="59">
        <f>IF(EVProj5[[#This Row],[★ Ballot Cards]]&gt;10000,10000,EVProj5[[#This Row],[★ Ballot Cards]])</f>
        <v>10000</v>
      </c>
      <c r="U36" s="58">
        <f>EVProj5[[#This Row],[Ballot Cards (max 10k)]]/250</f>
        <v>40</v>
      </c>
      <c r="V36" s="58">
        <f>EVProj5[[#This Row],[★ E-Pollbooks]]+EVProj5[[#This Row],[★ Soft Case (ADA) Voting Machines]]</f>
        <v>8</v>
      </c>
      <c r="W36" s="58">
        <f>EVProj5[[#This Row],[Tables Needed]]</f>
        <v>8</v>
      </c>
      <c r="X36" s="58">
        <v>22</v>
      </c>
      <c r="Y36" s="58">
        <v>100</v>
      </c>
      <c r="Z36" s="58">
        <f>IF(EVProj5[[#This Row],[Tables Needed]]-EVProj5[[#This Row],[Tables Provided by the Vote Center]]&lt;0,0,EVProj5[[#This Row],[Tables Needed]]-EVProj5[[#This Row],[Tables Provided by the Vote Center]])</f>
        <v>0</v>
      </c>
      <c r="AA36" s="58">
        <f>IF(EVProj5[[#This Row],[Chairs Needed]]-EVProj5[[#This Row],[Chairs Provided by the Vote Center]]&lt;0,0,EVProj5[[#This Row],[Chairs Needed]]-EVProj5[[#This Row],[Chairs Provided by the Vote Center]])</f>
        <v>0</v>
      </c>
    </row>
    <row r="37" spans="1:27">
      <c r="A37" s="58" t="s">
        <v>113</v>
      </c>
      <c r="B37" s="58" t="s">
        <v>213</v>
      </c>
      <c r="C37" s="30" t="s">
        <v>214</v>
      </c>
      <c r="D37" s="31" t="s">
        <v>215</v>
      </c>
      <c r="E37" s="58">
        <v>4</v>
      </c>
      <c r="F37" s="58">
        <v>10</v>
      </c>
      <c r="G37" s="58">
        <v>1</v>
      </c>
      <c r="H37" s="58">
        <v>1</v>
      </c>
      <c r="I37" s="58">
        <v>1</v>
      </c>
      <c r="J37" s="58">
        <f>SUM(EVProj5[[#This Row],[★ Hard Case Voting Machines]:[★ Curbside (Rollie) Voting Machines]])</f>
        <v>13</v>
      </c>
      <c r="K37" s="58">
        <v>1</v>
      </c>
      <c r="L37" s="58">
        <v>4</v>
      </c>
      <c r="M37" s="58">
        <v>5</v>
      </c>
      <c r="N37" s="58">
        <v>1</v>
      </c>
      <c r="O37" s="58">
        <v>1</v>
      </c>
      <c r="P37" s="58">
        <v>11</v>
      </c>
      <c r="Q37" s="58">
        <v>11</v>
      </c>
      <c r="R37" s="59">
        <v>6500</v>
      </c>
      <c r="S37" s="58">
        <v>26</v>
      </c>
      <c r="T37" s="59">
        <f>IF(EVProj5[[#This Row],[★ Ballot Cards]]&gt;10000,10000,EVProj5[[#This Row],[★ Ballot Cards]])</f>
        <v>6500</v>
      </c>
      <c r="U37" s="58">
        <f>EVProj5[[#This Row],[Ballot Cards (max 10k)]]/250</f>
        <v>26</v>
      </c>
      <c r="V37" s="58">
        <f>EVProj5[[#This Row],[★ E-Pollbooks]]+EVProj5[[#This Row],[★ Soft Case (ADA) Voting Machines]]</f>
        <v>5</v>
      </c>
      <c r="W37" s="58">
        <f>EVProj5[[#This Row],[Tables Needed]]</f>
        <v>5</v>
      </c>
      <c r="X37" s="58">
        <v>0</v>
      </c>
      <c r="Y37" s="58">
        <v>0</v>
      </c>
      <c r="Z37" s="58">
        <f>IF(EVProj5[[#This Row],[Tables Needed]]-EVProj5[[#This Row],[Tables Provided by the Vote Center]]&lt;0,0,EVProj5[[#This Row],[Tables Needed]]-EVProj5[[#This Row],[Tables Provided by the Vote Center]])</f>
        <v>5</v>
      </c>
      <c r="AA37" s="58">
        <f>IF(EVProj5[[#This Row],[Chairs Needed]]-EVProj5[[#This Row],[Chairs Provided by the Vote Center]]&lt;0,0,EVProj5[[#This Row],[Chairs Needed]]-EVProj5[[#This Row],[Chairs Provided by the Vote Center]])</f>
        <v>5</v>
      </c>
    </row>
    <row r="38" spans="1:27">
      <c r="A38" s="58" t="s">
        <v>113</v>
      </c>
      <c r="B38" s="58" t="s">
        <v>216</v>
      </c>
      <c r="C38" s="30" t="s">
        <v>217</v>
      </c>
      <c r="D38" s="31" t="s">
        <v>218</v>
      </c>
      <c r="E38" s="58">
        <v>9</v>
      </c>
      <c r="F38" s="58">
        <v>23</v>
      </c>
      <c r="G38" s="58">
        <v>1</v>
      </c>
      <c r="H38" s="58">
        <v>2</v>
      </c>
      <c r="I38" s="58">
        <v>1</v>
      </c>
      <c r="J38" s="58">
        <f>SUM(EVProj5[[#This Row],[★ Hard Case Voting Machines]:[★ Curbside (Rollie) Voting Machines]])</f>
        <v>27</v>
      </c>
      <c r="K38" s="58">
        <v>1</v>
      </c>
      <c r="L38" s="58">
        <v>10</v>
      </c>
      <c r="M38" s="58">
        <v>10</v>
      </c>
      <c r="N38" s="58">
        <v>1</v>
      </c>
      <c r="O38" s="58">
        <v>1</v>
      </c>
      <c r="P38" s="58">
        <v>22</v>
      </c>
      <c r="Q38" s="58">
        <v>17</v>
      </c>
      <c r="R38" s="59">
        <v>28000</v>
      </c>
      <c r="S38" s="58">
        <v>112</v>
      </c>
      <c r="T38" s="59">
        <f>IF(EVProj5[[#This Row],[★ Ballot Cards]]&gt;10000,10000,EVProj5[[#This Row],[★ Ballot Cards]])</f>
        <v>10000</v>
      </c>
      <c r="U38" s="58">
        <f>EVProj5[[#This Row],[Ballot Cards (max 10k)]]/250</f>
        <v>40</v>
      </c>
      <c r="V38" s="58">
        <f>EVProj5[[#This Row],[★ E-Pollbooks]]+EVProj5[[#This Row],[★ Soft Case (ADA) Voting Machines]]</f>
        <v>10</v>
      </c>
      <c r="W38" s="58">
        <f>EVProj5[[#This Row],[Tables Needed]]</f>
        <v>10</v>
      </c>
      <c r="X38" s="58">
        <v>8</v>
      </c>
      <c r="Y38" s="58">
        <v>100</v>
      </c>
      <c r="Z38" s="58">
        <f>IF(EVProj5[[#This Row],[Tables Needed]]-EVProj5[[#This Row],[Tables Provided by the Vote Center]]&lt;0,0,EVProj5[[#This Row],[Tables Needed]]-EVProj5[[#This Row],[Tables Provided by the Vote Center]])</f>
        <v>2</v>
      </c>
      <c r="AA38" s="58">
        <f>IF(EVProj5[[#This Row],[Chairs Needed]]-EVProj5[[#This Row],[Chairs Provided by the Vote Center]]&lt;0,0,EVProj5[[#This Row],[Chairs Needed]]-EVProj5[[#This Row],[Chairs Provided by the Vote Center]])</f>
        <v>0</v>
      </c>
    </row>
    <row r="39" spans="1:27">
      <c r="A39" s="58" t="s">
        <v>113</v>
      </c>
      <c r="B39" s="58" t="s">
        <v>219</v>
      </c>
      <c r="C39" s="30" t="s">
        <v>220</v>
      </c>
      <c r="D39" s="31" t="s">
        <v>221</v>
      </c>
      <c r="E39" s="58">
        <v>6</v>
      </c>
      <c r="F39" s="58">
        <v>17</v>
      </c>
      <c r="G39" s="58">
        <v>1</v>
      </c>
      <c r="H39" s="58">
        <v>2</v>
      </c>
      <c r="I39" s="58">
        <v>0</v>
      </c>
      <c r="J39" s="58">
        <f>SUM(EVProj5[[#This Row],[★ Hard Case Voting Machines]:[★ Curbside (Rollie) Voting Machines]])</f>
        <v>20</v>
      </c>
      <c r="K39" s="58">
        <v>1</v>
      </c>
      <c r="L39" s="58">
        <v>7</v>
      </c>
      <c r="M39" s="58">
        <v>8</v>
      </c>
      <c r="N39" s="58">
        <v>1</v>
      </c>
      <c r="O39" s="58">
        <v>1</v>
      </c>
      <c r="P39" s="58">
        <v>17</v>
      </c>
      <c r="Q39" s="58">
        <v>14</v>
      </c>
      <c r="R39" s="59">
        <v>14750</v>
      </c>
      <c r="S39" s="58">
        <v>59</v>
      </c>
      <c r="T39" s="59">
        <f>IF(EVProj5[[#This Row],[★ Ballot Cards]]&gt;10000,10000,EVProj5[[#This Row],[★ Ballot Cards]])</f>
        <v>10000</v>
      </c>
      <c r="U39" s="58">
        <f>EVProj5[[#This Row],[Ballot Cards (max 10k)]]/250</f>
        <v>40</v>
      </c>
      <c r="V39" s="58">
        <f>EVProj5[[#This Row],[★ E-Pollbooks]]+EVProj5[[#This Row],[★ Soft Case (ADA) Voting Machines]]</f>
        <v>7</v>
      </c>
      <c r="W39" s="58">
        <f>EVProj5[[#This Row],[Tables Needed]]</f>
        <v>7</v>
      </c>
      <c r="X39" s="58">
        <v>5</v>
      </c>
      <c r="Y39" s="58">
        <v>15</v>
      </c>
      <c r="Z39" s="58">
        <f>IF(EVProj5[[#This Row],[Tables Needed]]-EVProj5[[#This Row],[Tables Provided by the Vote Center]]&lt;0,0,EVProj5[[#This Row],[Tables Needed]]-EVProj5[[#This Row],[Tables Provided by the Vote Center]])</f>
        <v>2</v>
      </c>
      <c r="AA39" s="58">
        <f>IF(EVProj5[[#This Row],[Chairs Needed]]-EVProj5[[#This Row],[Chairs Provided by the Vote Center]]&lt;0,0,EVProj5[[#This Row],[Chairs Needed]]-EVProj5[[#This Row],[Chairs Provided by the Vote Center]])</f>
        <v>0</v>
      </c>
    </row>
    <row r="40" spans="1:27">
      <c r="A40" s="58" t="s">
        <v>113</v>
      </c>
      <c r="B40" s="58" t="s">
        <v>222</v>
      </c>
      <c r="C40" s="30" t="s">
        <v>223</v>
      </c>
      <c r="D40" s="31" t="s">
        <v>224</v>
      </c>
      <c r="E40" s="58">
        <v>9</v>
      </c>
      <c r="F40" s="58">
        <v>23</v>
      </c>
      <c r="G40" s="58">
        <v>1</v>
      </c>
      <c r="H40" s="58">
        <v>2</v>
      </c>
      <c r="I40" s="58">
        <v>1</v>
      </c>
      <c r="J40" s="58">
        <f>SUM(EVProj5[[#This Row],[★ Hard Case Voting Machines]:[★ Curbside (Rollie) Voting Machines]])</f>
        <v>27</v>
      </c>
      <c r="K40" s="58">
        <v>1</v>
      </c>
      <c r="L40" s="58">
        <v>10</v>
      </c>
      <c r="M40" s="58">
        <v>11</v>
      </c>
      <c r="N40" s="58">
        <v>1</v>
      </c>
      <c r="O40" s="58">
        <v>1</v>
      </c>
      <c r="P40" s="58">
        <v>23</v>
      </c>
      <c r="Q40" s="58">
        <v>17</v>
      </c>
      <c r="R40" s="59">
        <v>29000</v>
      </c>
      <c r="S40" s="58">
        <v>116</v>
      </c>
      <c r="T40" s="59">
        <f>IF(EVProj5[[#This Row],[★ Ballot Cards]]&gt;10000,10000,EVProj5[[#This Row],[★ Ballot Cards]])</f>
        <v>10000</v>
      </c>
      <c r="U40" s="58">
        <f>EVProj5[[#This Row],[Ballot Cards (max 10k)]]/250</f>
        <v>40</v>
      </c>
      <c r="V40" s="58">
        <f>EVProj5[[#This Row],[★ E-Pollbooks]]+EVProj5[[#This Row],[★ Soft Case (ADA) Voting Machines]]</f>
        <v>10</v>
      </c>
      <c r="W40" s="58">
        <f>EVProj5[[#This Row],[Tables Needed]]</f>
        <v>10</v>
      </c>
      <c r="X40" s="58">
        <v>0</v>
      </c>
      <c r="Y40" s="58">
        <v>0</v>
      </c>
      <c r="Z40" s="58">
        <f>IF(EVProj5[[#This Row],[Tables Needed]]-EVProj5[[#This Row],[Tables Provided by the Vote Center]]&lt;0,0,EVProj5[[#This Row],[Tables Needed]]-EVProj5[[#This Row],[Tables Provided by the Vote Center]])</f>
        <v>10</v>
      </c>
      <c r="AA40" s="58">
        <f>IF(EVProj5[[#This Row],[Chairs Needed]]-EVProj5[[#This Row],[Chairs Provided by the Vote Center]]&lt;0,0,EVProj5[[#This Row],[Chairs Needed]]-EVProj5[[#This Row],[Chairs Provided by the Vote Center]])</f>
        <v>10</v>
      </c>
    </row>
    <row r="41" spans="1:27">
      <c r="A41" s="58" t="s">
        <v>113</v>
      </c>
      <c r="B41" s="58" t="s">
        <v>225</v>
      </c>
      <c r="C41" s="65" t="s">
        <v>226</v>
      </c>
      <c r="D41" s="31" t="s">
        <v>227</v>
      </c>
      <c r="E41" s="58">
        <v>5</v>
      </c>
      <c r="F41" s="58">
        <v>10</v>
      </c>
      <c r="G41" s="58">
        <v>1</v>
      </c>
      <c r="H41" s="58">
        <v>1</v>
      </c>
      <c r="I41" s="58">
        <v>1</v>
      </c>
      <c r="J41" s="58">
        <f>SUM(EVProj5[[#This Row],[★ Hard Case Voting Machines]:[★ Curbside (Rollie) Voting Machines]])</f>
        <v>13</v>
      </c>
      <c r="K41" s="58">
        <v>1</v>
      </c>
      <c r="L41" s="58">
        <v>3</v>
      </c>
      <c r="M41" s="58">
        <v>4</v>
      </c>
      <c r="N41" s="58">
        <v>1</v>
      </c>
      <c r="O41" s="58">
        <v>1</v>
      </c>
      <c r="P41" s="58">
        <v>9</v>
      </c>
      <c r="Q41" s="58">
        <v>10</v>
      </c>
      <c r="R41" s="59">
        <v>1250</v>
      </c>
      <c r="S41" s="58">
        <v>5</v>
      </c>
      <c r="T41" s="59">
        <f>IF(EVProj5[[#This Row],[★ Ballot Cards]]&gt;10000,10000,EVProj5[[#This Row],[★ Ballot Cards]])</f>
        <v>1250</v>
      </c>
      <c r="U41" s="58">
        <f>EVProj5[[#This Row],[Ballot Cards (max 10k)]]/250</f>
        <v>5</v>
      </c>
      <c r="V41" s="58">
        <f>EVProj5[[#This Row],[★ E-Pollbooks]]+EVProj5[[#This Row],[★ Soft Case (ADA) Voting Machines]]</f>
        <v>6</v>
      </c>
      <c r="W41" s="58">
        <f>EVProj5[[#This Row],[Tables Needed]]</f>
        <v>6</v>
      </c>
      <c r="X41" s="58">
        <v>0</v>
      </c>
      <c r="Y41" s="58">
        <v>0</v>
      </c>
      <c r="Z41" s="58">
        <f>IF(EVProj5[[#This Row],[Tables Needed]]-EVProj5[[#This Row],[Tables Provided by the Vote Center]]&lt;0,0,EVProj5[[#This Row],[Tables Needed]]-EVProj5[[#This Row],[Tables Provided by the Vote Center]])</f>
        <v>6</v>
      </c>
      <c r="AA41" s="58">
        <f>IF(EVProj5[[#This Row],[Chairs Needed]]-EVProj5[[#This Row],[Chairs Provided by the Vote Center]]&lt;0,0,EVProj5[[#This Row],[Chairs Needed]]-EVProj5[[#This Row],[Chairs Provided by the Vote Center]])</f>
        <v>6</v>
      </c>
    </row>
    <row r="42" spans="1:27">
      <c r="A42" s="58" t="s">
        <v>113</v>
      </c>
      <c r="B42" s="58" t="s">
        <v>228</v>
      </c>
      <c r="C42" s="65" t="s">
        <v>229</v>
      </c>
      <c r="D42" s="31" t="s">
        <v>230</v>
      </c>
      <c r="E42" s="58">
        <v>4</v>
      </c>
      <c r="F42" s="58">
        <v>10</v>
      </c>
      <c r="G42" s="58">
        <v>1</v>
      </c>
      <c r="H42" s="58">
        <v>1</v>
      </c>
      <c r="I42" s="58">
        <v>1</v>
      </c>
      <c r="J42" s="58">
        <f>SUM(EVProj5[[#This Row],[★ Hard Case Voting Machines]:[★ Curbside (Rollie) Voting Machines]])</f>
        <v>13</v>
      </c>
      <c r="K42" s="58">
        <v>1</v>
      </c>
      <c r="L42" s="58">
        <v>3</v>
      </c>
      <c r="M42" s="58">
        <v>4</v>
      </c>
      <c r="N42" s="58">
        <v>1</v>
      </c>
      <c r="O42" s="58">
        <v>1</v>
      </c>
      <c r="P42" s="58">
        <v>9</v>
      </c>
      <c r="Q42" s="58">
        <v>10</v>
      </c>
      <c r="R42" s="59">
        <v>1250</v>
      </c>
      <c r="S42" s="58">
        <v>5</v>
      </c>
      <c r="T42" s="59">
        <f>IF(EVProj5[[#This Row],[★ Ballot Cards]]&gt;10000,10000,EVProj5[[#This Row],[★ Ballot Cards]])</f>
        <v>1250</v>
      </c>
      <c r="U42" s="58">
        <f>EVProj5[[#This Row],[Ballot Cards (max 10k)]]/250</f>
        <v>5</v>
      </c>
      <c r="V42" s="58">
        <f>EVProj5[[#This Row],[★ E-Pollbooks]]+EVProj5[[#This Row],[★ Soft Case (ADA) Voting Machines]]</f>
        <v>5</v>
      </c>
      <c r="W42" s="58">
        <f>EVProj5[[#This Row],[Tables Needed]]</f>
        <v>5</v>
      </c>
      <c r="X42" s="58">
        <v>4</v>
      </c>
      <c r="Y42" s="67">
        <v>8</v>
      </c>
      <c r="Z42" s="58">
        <f>IF(EVProj5[[#This Row],[Tables Needed]]-EVProj5[[#This Row],[Tables Provided by the Vote Center]]&lt;0,0,EVProj5[[#This Row],[Tables Needed]]-EVProj5[[#This Row],[Tables Provided by the Vote Center]])</f>
        <v>1</v>
      </c>
      <c r="AA42" s="58">
        <f>IF(EVProj5[[#This Row],[Chairs Needed]]-EVProj5[[#This Row],[Chairs Provided by the Vote Center]]&lt;0,0,EVProj5[[#This Row],[Chairs Needed]]-EVProj5[[#This Row],[Chairs Provided by the Vote Center]])</f>
        <v>0</v>
      </c>
    </row>
    <row r="43" spans="1:27">
      <c r="A43" s="58" t="s">
        <v>113</v>
      </c>
      <c r="B43" s="58" t="s">
        <v>231</v>
      </c>
      <c r="C43" s="30" t="s">
        <v>232</v>
      </c>
      <c r="D43" s="31" t="s">
        <v>233</v>
      </c>
      <c r="E43" s="58">
        <v>9</v>
      </c>
      <c r="F43" s="58">
        <v>22</v>
      </c>
      <c r="G43" s="58">
        <v>1</v>
      </c>
      <c r="H43" s="58">
        <v>2</v>
      </c>
      <c r="I43" s="58">
        <v>1</v>
      </c>
      <c r="J43" s="58">
        <f>SUM(EVProj5[[#This Row],[★ Hard Case Voting Machines]:[★ Curbside (Rollie) Voting Machines]])</f>
        <v>26</v>
      </c>
      <c r="K43" s="58">
        <v>1</v>
      </c>
      <c r="L43" s="58">
        <v>10</v>
      </c>
      <c r="M43" s="58">
        <v>11</v>
      </c>
      <c r="N43" s="58">
        <v>1</v>
      </c>
      <c r="O43" s="58">
        <v>1</v>
      </c>
      <c r="P43" s="58">
        <v>23</v>
      </c>
      <c r="Q43" s="58">
        <v>17</v>
      </c>
      <c r="R43" s="59">
        <v>39000</v>
      </c>
      <c r="S43" s="58">
        <v>156</v>
      </c>
      <c r="T43" s="59">
        <f>IF(EVProj5[[#This Row],[★ Ballot Cards]]&gt;10000,10000,EVProj5[[#This Row],[★ Ballot Cards]])</f>
        <v>10000</v>
      </c>
      <c r="U43" s="58">
        <f>EVProj5[[#This Row],[Ballot Cards (max 10k)]]/250</f>
        <v>40</v>
      </c>
      <c r="V43" s="58">
        <f>EVProj5[[#This Row],[★ E-Pollbooks]]+EVProj5[[#This Row],[★ Soft Case (ADA) Voting Machines]]</f>
        <v>10</v>
      </c>
      <c r="W43" s="58">
        <f>EVProj5[[#This Row],[Tables Needed]]</f>
        <v>10</v>
      </c>
      <c r="X43" s="58">
        <v>8</v>
      </c>
      <c r="Y43" s="58">
        <v>40</v>
      </c>
      <c r="Z43" s="58">
        <f>IF(EVProj5[[#This Row],[Tables Needed]]-EVProj5[[#This Row],[Tables Provided by the Vote Center]]&lt;0,0,EVProj5[[#This Row],[Tables Needed]]-EVProj5[[#This Row],[Tables Provided by the Vote Center]])</f>
        <v>2</v>
      </c>
      <c r="AA43" s="58">
        <f>IF(EVProj5[[#This Row],[Chairs Needed]]-EVProj5[[#This Row],[Chairs Provided by the Vote Center]]&lt;0,0,EVProj5[[#This Row],[Chairs Needed]]-EVProj5[[#This Row],[Chairs Provided by the Vote Center]])</f>
        <v>0</v>
      </c>
    </row>
    <row r="44" spans="1:27">
      <c r="A44" s="58" t="s">
        <v>113</v>
      </c>
      <c r="B44" s="58" t="s">
        <v>234</v>
      </c>
      <c r="C44" s="30" t="s">
        <v>235</v>
      </c>
      <c r="D44" s="31" t="s">
        <v>236</v>
      </c>
      <c r="E44" s="58">
        <v>5</v>
      </c>
      <c r="F44" s="58">
        <v>11</v>
      </c>
      <c r="G44" s="58">
        <v>1</v>
      </c>
      <c r="H44" s="58">
        <v>1</v>
      </c>
      <c r="I44" s="58">
        <v>1</v>
      </c>
      <c r="J44" s="58">
        <f>SUM(EVProj5[[#This Row],[★ Hard Case Voting Machines]:[★ Curbside (Rollie) Voting Machines]])</f>
        <v>14</v>
      </c>
      <c r="K44" s="58">
        <v>1</v>
      </c>
      <c r="L44" s="58">
        <v>6</v>
      </c>
      <c r="M44" s="58">
        <v>7</v>
      </c>
      <c r="N44" s="58">
        <v>1</v>
      </c>
      <c r="O44" s="58">
        <v>1</v>
      </c>
      <c r="P44" s="58">
        <v>15</v>
      </c>
      <c r="Q44" s="58">
        <v>12</v>
      </c>
      <c r="R44" s="59">
        <v>10750</v>
      </c>
      <c r="S44" s="58">
        <v>43</v>
      </c>
      <c r="T44" s="59">
        <f>IF(EVProj5[[#This Row],[★ Ballot Cards]]&gt;10000,10000,EVProj5[[#This Row],[★ Ballot Cards]])</f>
        <v>10000</v>
      </c>
      <c r="U44" s="58">
        <f>EVProj5[[#This Row],[Ballot Cards (max 10k)]]/250</f>
        <v>40</v>
      </c>
      <c r="V44" s="58">
        <f>EVProj5[[#This Row],[★ E-Pollbooks]]+EVProj5[[#This Row],[★ Soft Case (ADA) Voting Machines]]</f>
        <v>6</v>
      </c>
      <c r="W44" s="58">
        <f>EVProj5[[#This Row],[Tables Needed]]</f>
        <v>6</v>
      </c>
      <c r="X44" s="58">
        <v>6</v>
      </c>
      <c r="Y44" s="58">
        <v>20</v>
      </c>
      <c r="Z44" s="58">
        <f>IF(EVProj5[[#This Row],[Tables Needed]]-EVProj5[[#This Row],[Tables Provided by the Vote Center]]&lt;0,0,EVProj5[[#This Row],[Tables Needed]]-EVProj5[[#This Row],[Tables Provided by the Vote Center]])</f>
        <v>0</v>
      </c>
      <c r="AA44" s="58">
        <f>IF(EVProj5[[#This Row],[Chairs Needed]]-EVProj5[[#This Row],[Chairs Provided by the Vote Center]]&lt;0,0,EVProj5[[#This Row],[Chairs Needed]]-EVProj5[[#This Row],[Chairs Provided by the Vote Center]])</f>
        <v>0</v>
      </c>
    </row>
    <row r="45" spans="1:27">
      <c r="A45" s="58" t="s">
        <v>113</v>
      </c>
      <c r="B45" s="58" t="s">
        <v>237</v>
      </c>
      <c r="C45" s="65" t="s">
        <v>238</v>
      </c>
      <c r="D45" s="31" t="s">
        <v>239</v>
      </c>
      <c r="E45" s="58">
        <v>7</v>
      </c>
      <c r="F45" s="58">
        <v>17</v>
      </c>
      <c r="G45" s="58">
        <v>1</v>
      </c>
      <c r="H45" s="58">
        <v>2</v>
      </c>
      <c r="I45" s="58">
        <v>1</v>
      </c>
      <c r="J45" s="58">
        <f>SUM(EVProj5[[#This Row],[★ Hard Case Voting Machines]:[★ Curbside (Rollie) Voting Machines]])</f>
        <v>21</v>
      </c>
      <c r="K45" s="58">
        <v>1</v>
      </c>
      <c r="L45" s="58">
        <v>12</v>
      </c>
      <c r="M45" s="58">
        <v>12</v>
      </c>
      <c r="N45" s="58">
        <v>1</v>
      </c>
      <c r="O45" s="58">
        <v>1</v>
      </c>
      <c r="P45" s="58">
        <v>26</v>
      </c>
      <c r="Q45" s="58">
        <v>14</v>
      </c>
      <c r="R45" s="59">
        <v>33500</v>
      </c>
      <c r="S45" s="58">
        <v>134</v>
      </c>
      <c r="T45" s="59">
        <f>IF(EVProj5[[#This Row],[★ Ballot Cards]]&gt;10000,10000,EVProj5[[#This Row],[★ Ballot Cards]])</f>
        <v>10000</v>
      </c>
      <c r="U45" s="58">
        <f>EVProj5[[#This Row],[Ballot Cards (max 10k)]]/250</f>
        <v>40</v>
      </c>
      <c r="V45" s="58">
        <f>EVProj5[[#This Row],[★ E-Pollbooks]]+EVProj5[[#This Row],[★ Soft Case (ADA) Voting Machines]]</f>
        <v>8</v>
      </c>
      <c r="W45" s="58">
        <f>EVProj5[[#This Row],[Tables Needed]]</f>
        <v>8</v>
      </c>
      <c r="X45" s="58">
        <v>9</v>
      </c>
      <c r="Y45" s="58">
        <v>50</v>
      </c>
      <c r="Z45" s="58">
        <f>IF(EVProj5[[#This Row],[Tables Needed]]-EVProj5[[#This Row],[Tables Provided by the Vote Center]]&lt;0,0,EVProj5[[#This Row],[Tables Needed]]-EVProj5[[#This Row],[Tables Provided by the Vote Center]])</f>
        <v>0</v>
      </c>
      <c r="AA45" s="58">
        <f>IF(EVProj5[[#This Row],[Chairs Needed]]-EVProj5[[#This Row],[Chairs Provided by the Vote Center]]&lt;0,0,EVProj5[[#This Row],[Chairs Needed]]-EVProj5[[#This Row],[Chairs Provided by the Vote Center]])</f>
        <v>0</v>
      </c>
    </row>
    <row r="46" spans="1:27">
      <c r="A46" s="58" t="s">
        <v>113</v>
      </c>
      <c r="B46" s="58" t="s">
        <v>240</v>
      </c>
      <c r="C46" s="30" t="s">
        <v>241</v>
      </c>
      <c r="D46" s="31" t="s">
        <v>242</v>
      </c>
      <c r="E46" s="58">
        <v>4</v>
      </c>
      <c r="F46" s="58">
        <v>11</v>
      </c>
      <c r="G46" s="58">
        <v>1</v>
      </c>
      <c r="H46" s="58">
        <v>1</v>
      </c>
      <c r="I46" s="58">
        <v>1</v>
      </c>
      <c r="J46" s="58">
        <f>SUM(EVProj5[[#This Row],[★ Hard Case Voting Machines]:[★ Curbside (Rollie) Voting Machines]])</f>
        <v>14</v>
      </c>
      <c r="K46" s="58">
        <v>1</v>
      </c>
      <c r="L46" s="58">
        <v>6</v>
      </c>
      <c r="M46" s="58">
        <v>6</v>
      </c>
      <c r="N46" s="58">
        <v>1</v>
      </c>
      <c r="O46" s="58">
        <v>1</v>
      </c>
      <c r="P46" s="58">
        <v>14</v>
      </c>
      <c r="Q46" s="58">
        <v>11</v>
      </c>
      <c r="R46" s="59">
        <v>10000</v>
      </c>
      <c r="S46" s="58">
        <v>40</v>
      </c>
      <c r="T46" s="59">
        <f>IF(EVProj5[[#This Row],[★ Ballot Cards]]&gt;10000,10000,EVProj5[[#This Row],[★ Ballot Cards]])</f>
        <v>10000</v>
      </c>
      <c r="U46" s="58">
        <f>EVProj5[[#This Row],[Ballot Cards (max 10k)]]/250</f>
        <v>40</v>
      </c>
      <c r="V46" s="58">
        <f>EVProj5[[#This Row],[★ E-Pollbooks]]+EVProj5[[#This Row],[★ Soft Case (ADA) Voting Machines]]</f>
        <v>5</v>
      </c>
      <c r="W46" s="58">
        <f>EVProj5[[#This Row],[Tables Needed]]</f>
        <v>5</v>
      </c>
      <c r="X46" s="58">
        <v>0</v>
      </c>
      <c r="Y46" s="58">
        <v>0</v>
      </c>
      <c r="Z46" s="58">
        <f>IF(EVProj5[[#This Row],[Tables Needed]]-EVProj5[[#This Row],[Tables Provided by the Vote Center]]&lt;0,0,EVProj5[[#This Row],[Tables Needed]]-EVProj5[[#This Row],[Tables Provided by the Vote Center]])</f>
        <v>5</v>
      </c>
      <c r="AA46" s="58">
        <f>IF(EVProj5[[#This Row],[Chairs Needed]]-EVProj5[[#This Row],[Chairs Provided by the Vote Center]]&lt;0,0,EVProj5[[#This Row],[Chairs Needed]]-EVProj5[[#This Row],[Chairs Provided by the Vote Center]])</f>
        <v>5</v>
      </c>
    </row>
    <row r="47" spans="1:27">
      <c r="A47" s="58" t="s">
        <v>113</v>
      </c>
      <c r="B47" s="58" t="s">
        <v>243</v>
      </c>
      <c r="C47" s="30" t="s">
        <v>244</v>
      </c>
      <c r="D47" s="31" t="s">
        <v>245</v>
      </c>
      <c r="E47" s="58">
        <v>5</v>
      </c>
      <c r="F47" s="58">
        <v>11</v>
      </c>
      <c r="G47" s="58">
        <v>1</v>
      </c>
      <c r="H47" s="58">
        <v>1</v>
      </c>
      <c r="I47" s="58">
        <v>1</v>
      </c>
      <c r="J47" s="58">
        <f>SUM(EVProj5[[#This Row],[★ Hard Case Voting Machines]:[★ Curbside (Rollie) Voting Machines]])</f>
        <v>14</v>
      </c>
      <c r="K47" s="58">
        <v>1</v>
      </c>
      <c r="L47" s="58">
        <v>6</v>
      </c>
      <c r="M47" s="58">
        <v>6</v>
      </c>
      <c r="N47" s="58">
        <v>1</v>
      </c>
      <c r="O47" s="58">
        <v>1</v>
      </c>
      <c r="P47" s="58">
        <v>14</v>
      </c>
      <c r="Q47" s="58">
        <v>12</v>
      </c>
      <c r="R47" s="59">
        <v>10000</v>
      </c>
      <c r="S47" s="58">
        <v>40</v>
      </c>
      <c r="T47" s="59">
        <f>IF(EVProj5[[#This Row],[★ Ballot Cards]]&gt;10000,10000,EVProj5[[#This Row],[★ Ballot Cards]])</f>
        <v>10000</v>
      </c>
      <c r="U47" s="58">
        <f>EVProj5[[#This Row],[Ballot Cards (max 10k)]]/250</f>
        <v>40</v>
      </c>
      <c r="V47" s="58">
        <f>EVProj5[[#This Row],[★ E-Pollbooks]]+EVProj5[[#This Row],[★ Soft Case (ADA) Voting Machines]]</f>
        <v>6</v>
      </c>
      <c r="W47" s="58">
        <f>EVProj5[[#This Row],[Tables Needed]]</f>
        <v>6</v>
      </c>
      <c r="X47" s="58">
        <v>0</v>
      </c>
      <c r="Y47" s="58">
        <v>0</v>
      </c>
      <c r="Z47" s="58">
        <f>IF(EVProj5[[#This Row],[Tables Needed]]-EVProj5[[#This Row],[Tables Provided by the Vote Center]]&lt;0,0,EVProj5[[#This Row],[Tables Needed]]-EVProj5[[#This Row],[Tables Provided by the Vote Center]])</f>
        <v>6</v>
      </c>
      <c r="AA47" s="58">
        <f>IF(EVProj5[[#This Row],[Chairs Needed]]-EVProj5[[#This Row],[Chairs Provided by the Vote Center]]&lt;0,0,EVProj5[[#This Row],[Chairs Needed]]-EVProj5[[#This Row],[Chairs Provided by the Vote Center]])</f>
        <v>6</v>
      </c>
    </row>
    <row r="48" spans="1:27">
      <c r="A48" s="58" t="s">
        <v>113</v>
      </c>
      <c r="B48" s="58" t="s">
        <v>246</v>
      </c>
      <c r="C48" s="30" t="s">
        <v>247</v>
      </c>
      <c r="D48" s="31" t="s">
        <v>248</v>
      </c>
      <c r="E48" s="58">
        <v>4</v>
      </c>
      <c r="F48" s="58">
        <v>9</v>
      </c>
      <c r="G48" s="58">
        <v>1</v>
      </c>
      <c r="H48" s="58">
        <v>1</v>
      </c>
      <c r="I48" s="58">
        <v>1</v>
      </c>
      <c r="J48" s="58">
        <f>SUM(EVProj5[[#This Row],[★ Hard Case Voting Machines]:[★ Curbside (Rollie) Voting Machines]])</f>
        <v>12</v>
      </c>
      <c r="K48" s="58">
        <v>1</v>
      </c>
      <c r="L48" s="58">
        <v>5</v>
      </c>
      <c r="M48" s="58">
        <v>5</v>
      </c>
      <c r="N48" s="58">
        <v>1</v>
      </c>
      <c r="O48" s="58">
        <v>1</v>
      </c>
      <c r="P48" s="58">
        <v>12</v>
      </c>
      <c r="Q48" s="58">
        <v>11</v>
      </c>
      <c r="R48" s="59">
        <v>5500</v>
      </c>
      <c r="S48" s="58">
        <v>22</v>
      </c>
      <c r="T48" s="59">
        <f>IF(EVProj5[[#This Row],[★ Ballot Cards]]&gt;10000,10000,EVProj5[[#This Row],[★ Ballot Cards]])</f>
        <v>5500</v>
      </c>
      <c r="U48" s="58">
        <f>EVProj5[[#This Row],[Ballot Cards (max 10k)]]/250</f>
        <v>22</v>
      </c>
      <c r="V48" s="58">
        <f>EVProj5[[#This Row],[★ E-Pollbooks]]+EVProj5[[#This Row],[★ Soft Case (ADA) Voting Machines]]</f>
        <v>5</v>
      </c>
      <c r="W48" s="58">
        <f>EVProj5[[#This Row],[Tables Needed]]</f>
        <v>5</v>
      </c>
      <c r="X48" s="58">
        <v>0</v>
      </c>
      <c r="Y48" s="58">
        <v>0</v>
      </c>
      <c r="Z48" s="58">
        <f>IF(EVProj5[[#This Row],[Tables Needed]]-EVProj5[[#This Row],[Tables Provided by the Vote Center]]&lt;0,0,EVProj5[[#This Row],[Tables Needed]]-EVProj5[[#This Row],[Tables Provided by the Vote Center]])</f>
        <v>5</v>
      </c>
      <c r="AA48" s="58">
        <f>IF(EVProj5[[#This Row],[Chairs Needed]]-EVProj5[[#This Row],[Chairs Provided by the Vote Center]]&lt;0,0,EVProj5[[#This Row],[Chairs Needed]]-EVProj5[[#This Row],[Chairs Provided by the Vote Center]])</f>
        <v>5</v>
      </c>
    </row>
    <row r="49" spans="1:27">
      <c r="A49" s="58" t="s">
        <v>113</v>
      </c>
      <c r="B49" s="58" t="s">
        <v>249</v>
      </c>
      <c r="C49" s="30" t="s">
        <v>250</v>
      </c>
      <c r="D49" s="31" t="s">
        <v>251</v>
      </c>
      <c r="E49" s="58">
        <v>4</v>
      </c>
      <c r="F49" s="58">
        <v>10</v>
      </c>
      <c r="G49" s="58">
        <v>1</v>
      </c>
      <c r="H49" s="58">
        <v>1</v>
      </c>
      <c r="I49" s="58">
        <v>1</v>
      </c>
      <c r="J49" s="58">
        <f>SUM(EVProj5[[#This Row],[★ Hard Case Voting Machines]:[★ Curbside (Rollie) Voting Machines]])</f>
        <v>13</v>
      </c>
      <c r="K49" s="58">
        <v>1</v>
      </c>
      <c r="L49" s="58">
        <v>7</v>
      </c>
      <c r="M49" s="58">
        <v>7</v>
      </c>
      <c r="N49" s="58">
        <v>1</v>
      </c>
      <c r="O49" s="58">
        <v>1</v>
      </c>
      <c r="P49" s="58">
        <v>16</v>
      </c>
      <c r="Q49" s="58">
        <v>11</v>
      </c>
      <c r="R49" s="59">
        <v>8750</v>
      </c>
      <c r="S49" s="58">
        <v>35</v>
      </c>
      <c r="T49" s="59">
        <f>IF(EVProj5[[#This Row],[★ Ballot Cards]]&gt;10000,10000,EVProj5[[#This Row],[★ Ballot Cards]])</f>
        <v>8750</v>
      </c>
      <c r="U49" s="58">
        <f>EVProj5[[#This Row],[Ballot Cards (max 10k)]]/250</f>
        <v>35</v>
      </c>
      <c r="V49" s="58">
        <f>EVProj5[[#This Row],[★ E-Pollbooks]]+EVProj5[[#This Row],[★ Soft Case (ADA) Voting Machines]]</f>
        <v>5</v>
      </c>
      <c r="W49" s="58">
        <f>EVProj5[[#This Row],[Tables Needed]]</f>
        <v>5</v>
      </c>
      <c r="X49" s="58">
        <v>15</v>
      </c>
      <c r="Y49" s="58">
        <v>50</v>
      </c>
      <c r="Z49" s="58">
        <f>IF(EVProj5[[#This Row],[Tables Needed]]-EVProj5[[#This Row],[Tables Provided by the Vote Center]]&lt;0,0,EVProj5[[#This Row],[Tables Needed]]-EVProj5[[#This Row],[Tables Provided by the Vote Center]])</f>
        <v>0</v>
      </c>
      <c r="AA49" s="58">
        <f>IF(EVProj5[[#This Row],[Chairs Needed]]-EVProj5[[#This Row],[Chairs Provided by the Vote Center]]&lt;0,0,EVProj5[[#This Row],[Chairs Needed]]-EVProj5[[#This Row],[Chairs Provided by the Vote Center]])</f>
        <v>0</v>
      </c>
    </row>
    <row r="50" spans="1:27">
      <c r="A50" s="58" t="s">
        <v>113</v>
      </c>
      <c r="B50" s="58" t="s">
        <v>252</v>
      </c>
      <c r="C50" s="30" t="s">
        <v>253</v>
      </c>
      <c r="D50" s="31" t="s">
        <v>254</v>
      </c>
      <c r="E50" s="58">
        <v>4</v>
      </c>
      <c r="F50" s="58">
        <v>10</v>
      </c>
      <c r="G50" s="58">
        <v>1</v>
      </c>
      <c r="H50" s="58">
        <v>1</v>
      </c>
      <c r="I50" s="58">
        <v>1</v>
      </c>
      <c r="J50" s="58">
        <f>SUM(EVProj5[[#This Row],[★ Hard Case Voting Machines]:[★ Curbside (Rollie) Voting Machines]])</f>
        <v>13</v>
      </c>
      <c r="K50" s="58">
        <v>1</v>
      </c>
      <c r="L50" s="58">
        <v>5</v>
      </c>
      <c r="M50" s="58">
        <v>5</v>
      </c>
      <c r="N50" s="58">
        <v>1</v>
      </c>
      <c r="O50" s="58">
        <v>1</v>
      </c>
      <c r="P50" s="58">
        <v>12</v>
      </c>
      <c r="Q50" s="58">
        <v>11</v>
      </c>
      <c r="R50" s="59">
        <v>8250</v>
      </c>
      <c r="S50" s="58">
        <v>33</v>
      </c>
      <c r="T50" s="59">
        <f>IF(EVProj5[[#This Row],[★ Ballot Cards]]&gt;10000,10000,EVProj5[[#This Row],[★ Ballot Cards]])</f>
        <v>8250</v>
      </c>
      <c r="U50" s="58">
        <f>EVProj5[[#This Row],[Ballot Cards (max 10k)]]/250</f>
        <v>33</v>
      </c>
      <c r="V50" s="58">
        <f>EVProj5[[#This Row],[★ E-Pollbooks]]+EVProj5[[#This Row],[★ Soft Case (ADA) Voting Machines]]</f>
        <v>5</v>
      </c>
      <c r="W50" s="58">
        <f>EVProj5[[#This Row],[Tables Needed]]</f>
        <v>5</v>
      </c>
      <c r="X50" s="58">
        <v>4</v>
      </c>
      <c r="Y50" s="58">
        <v>10</v>
      </c>
      <c r="Z50" s="58">
        <f>IF(EVProj5[[#This Row],[Tables Needed]]-EVProj5[[#This Row],[Tables Provided by the Vote Center]]&lt;0,0,EVProj5[[#This Row],[Tables Needed]]-EVProj5[[#This Row],[Tables Provided by the Vote Center]])</f>
        <v>1</v>
      </c>
      <c r="AA50" s="58">
        <f>IF(EVProj5[[#This Row],[Chairs Needed]]-EVProj5[[#This Row],[Chairs Provided by the Vote Center]]&lt;0,0,EVProj5[[#This Row],[Chairs Needed]]-EVProj5[[#This Row],[Chairs Provided by the Vote Center]])</f>
        <v>0</v>
      </c>
    </row>
    <row r="51" spans="1:27">
      <c r="A51" s="58" t="s">
        <v>113</v>
      </c>
      <c r="B51" s="58" t="s">
        <v>19</v>
      </c>
      <c r="C51" s="65" t="s">
        <v>17</v>
      </c>
      <c r="D51" s="31" t="s">
        <v>18</v>
      </c>
      <c r="E51" s="58">
        <v>14</v>
      </c>
      <c r="F51" s="58">
        <v>26</v>
      </c>
      <c r="G51" s="58">
        <v>1</v>
      </c>
      <c r="H51" s="58">
        <v>2</v>
      </c>
      <c r="I51" s="58">
        <v>1</v>
      </c>
      <c r="J51" s="58">
        <f>SUM(EVProj5[[#This Row],[★ Hard Case Voting Machines]:[★ Curbside (Rollie) Voting Machines]])</f>
        <v>30</v>
      </c>
      <c r="K51" s="58">
        <v>1</v>
      </c>
      <c r="L51" s="58">
        <v>16</v>
      </c>
      <c r="M51" s="58">
        <v>17</v>
      </c>
      <c r="N51" s="58">
        <v>1</v>
      </c>
      <c r="O51" s="58">
        <v>1</v>
      </c>
      <c r="P51" s="58">
        <v>35</v>
      </c>
      <c r="Q51" s="58">
        <v>19</v>
      </c>
      <c r="R51" s="59">
        <v>45250</v>
      </c>
      <c r="S51" s="58">
        <v>181</v>
      </c>
      <c r="T51" s="59">
        <f>IF(EVProj5[[#This Row],[★ Ballot Cards]]&gt;10000,10000,EVProj5[[#This Row],[★ Ballot Cards]])</f>
        <v>10000</v>
      </c>
      <c r="U51" s="58">
        <f>EVProj5[[#This Row],[Ballot Cards (max 10k)]]/250</f>
        <v>40</v>
      </c>
      <c r="V51" s="58">
        <f>EVProj5[[#This Row],[★ E-Pollbooks]]+EVProj5[[#This Row],[★ Soft Case (ADA) Voting Machines]]</f>
        <v>15</v>
      </c>
      <c r="W51" s="58">
        <f>EVProj5[[#This Row],[Tables Needed]]</f>
        <v>15</v>
      </c>
      <c r="X51" s="58">
        <v>5</v>
      </c>
      <c r="Y51" s="58">
        <v>20</v>
      </c>
      <c r="Z51" s="58">
        <f>IF(EVProj5[[#This Row],[Tables Needed]]-EVProj5[[#This Row],[Tables Provided by the Vote Center]]&lt;0,0,EVProj5[[#This Row],[Tables Needed]]-EVProj5[[#This Row],[Tables Provided by the Vote Center]])</f>
        <v>10</v>
      </c>
      <c r="AA51" s="58">
        <f>IF(EVProj5[[#This Row],[Chairs Needed]]-EVProj5[[#This Row],[Chairs Provided by the Vote Center]]&lt;0,0,EVProj5[[#This Row],[Chairs Needed]]-EVProj5[[#This Row],[Chairs Provided by the Vote Center]])</f>
        <v>0</v>
      </c>
    </row>
    <row r="52" spans="1:27">
      <c r="A52" s="58" t="s">
        <v>113</v>
      </c>
      <c r="B52" s="58" t="s">
        <v>255</v>
      </c>
      <c r="C52" s="30" t="s">
        <v>256</v>
      </c>
      <c r="D52" s="31" t="s">
        <v>257</v>
      </c>
      <c r="E52" s="58">
        <v>5</v>
      </c>
      <c r="F52" s="58">
        <v>19</v>
      </c>
      <c r="G52" s="58">
        <v>1</v>
      </c>
      <c r="H52" s="58">
        <v>2</v>
      </c>
      <c r="I52" s="58">
        <v>0</v>
      </c>
      <c r="J52" s="58">
        <f>SUM(EVProj5[[#This Row],[★ Hard Case Voting Machines]:[★ Curbside (Rollie) Voting Machines]])</f>
        <v>22</v>
      </c>
      <c r="K52" s="58">
        <v>1</v>
      </c>
      <c r="L52" s="58">
        <v>7</v>
      </c>
      <c r="M52" s="58">
        <v>8</v>
      </c>
      <c r="N52" s="58">
        <v>1</v>
      </c>
      <c r="O52" s="58">
        <v>1</v>
      </c>
      <c r="P52" s="58">
        <v>17</v>
      </c>
      <c r="Q52" s="58">
        <v>15</v>
      </c>
      <c r="R52" s="59">
        <v>16000</v>
      </c>
      <c r="S52" s="58">
        <v>64</v>
      </c>
      <c r="T52" s="59">
        <f>IF(EVProj5[[#This Row],[★ Ballot Cards]]&gt;10000,10000,EVProj5[[#This Row],[★ Ballot Cards]])</f>
        <v>10000</v>
      </c>
      <c r="U52" s="58">
        <f>EVProj5[[#This Row],[Ballot Cards (max 10k)]]/250</f>
        <v>40</v>
      </c>
      <c r="V52" s="58">
        <f>EVProj5[[#This Row],[★ E-Pollbooks]]+EVProj5[[#This Row],[★ Soft Case (ADA) Voting Machines]]</f>
        <v>6</v>
      </c>
      <c r="W52" s="58">
        <f>EVProj5[[#This Row],[Tables Needed]]</f>
        <v>6</v>
      </c>
      <c r="X52" s="58">
        <v>0</v>
      </c>
      <c r="Y52" s="58">
        <v>0</v>
      </c>
      <c r="Z52" s="58">
        <f>IF(EVProj5[[#This Row],[Tables Needed]]-EVProj5[[#This Row],[Tables Provided by the Vote Center]]&lt;0,0,EVProj5[[#This Row],[Tables Needed]]-EVProj5[[#This Row],[Tables Provided by the Vote Center]])</f>
        <v>6</v>
      </c>
      <c r="AA52" s="58">
        <f>IF(EVProj5[[#This Row],[Chairs Needed]]-EVProj5[[#This Row],[Chairs Provided by the Vote Center]]&lt;0,0,EVProj5[[#This Row],[Chairs Needed]]-EVProj5[[#This Row],[Chairs Provided by the Vote Center]])</f>
        <v>6</v>
      </c>
    </row>
    <row r="53" spans="1:27">
      <c r="A53" s="58" t="s">
        <v>113</v>
      </c>
      <c r="B53" s="58" t="s">
        <v>258</v>
      </c>
      <c r="C53" s="65" t="s">
        <v>259</v>
      </c>
      <c r="D53" s="31" t="s">
        <v>260</v>
      </c>
      <c r="E53" s="58">
        <v>4</v>
      </c>
      <c r="F53" s="58">
        <v>10</v>
      </c>
      <c r="G53" s="58">
        <v>1</v>
      </c>
      <c r="H53" s="58">
        <v>1</v>
      </c>
      <c r="I53" s="58">
        <v>1</v>
      </c>
      <c r="J53" s="58">
        <f>SUM(EVProj5[[#This Row],[★ Hard Case Voting Machines]:[★ Curbside (Rollie) Voting Machines]])</f>
        <v>13</v>
      </c>
      <c r="K53" s="58">
        <v>1</v>
      </c>
      <c r="L53" s="58">
        <v>3</v>
      </c>
      <c r="M53" s="58">
        <v>4</v>
      </c>
      <c r="N53" s="58">
        <v>1</v>
      </c>
      <c r="O53" s="58">
        <v>1</v>
      </c>
      <c r="P53" s="58">
        <v>9</v>
      </c>
      <c r="Q53" s="58">
        <v>10</v>
      </c>
      <c r="R53" s="59">
        <v>1250</v>
      </c>
      <c r="S53" s="58">
        <v>5</v>
      </c>
      <c r="T53" s="59">
        <f>IF(EVProj5[[#This Row],[★ Ballot Cards]]&gt;10000,10000,EVProj5[[#This Row],[★ Ballot Cards]])</f>
        <v>1250</v>
      </c>
      <c r="U53" s="58">
        <f>EVProj5[[#This Row],[Ballot Cards (max 10k)]]/250</f>
        <v>5</v>
      </c>
      <c r="V53" s="58">
        <f>EVProj5[[#This Row],[★ E-Pollbooks]]+EVProj5[[#This Row],[★ Soft Case (ADA) Voting Machines]]</f>
        <v>5</v>
      </c>
      <c r="W53" s="58">
        <f>EVProj5[[#This Row],[Tables Needed]]</f>
        <v>5</v>
      </c>
      <c r="X53" s="58">
        <v>0</v>
      </c>
      <c r="Y53" s="58">
        <v>0</v>
      </c>
      <c r="Z53" s="58">
        <f>IF(EVProj5[[#This Row],[Tables Needed]]-EVProj5[[#This Row],[Tables Provided by the Vote Center]]&lt;0,0,EVProj5[[#This Row],[Tables Needed]]-EVProj5[[#This Row],[Tables Provided by the Vote Center]])</f>
        <v>5</v>
      </c>
      <c r="AA53" s="58">
        <f>IF(EVProj5[[#This Row],[Chairs Needed]]-EVProj5[[#This Row],[Chairs Provided by the Vote Center]]&lt;0,0,EVProj5[[#This Row],[Chairs Needed]]-EVProj5[[#This Row],[Chairs Provided by the Vote Center]])</f>
        <v>5</v>
      </c>
    </row>
    <row r="54" spans="1:27">
      <c r="A54" s="58" t="s">
        <v>113</v>
      </c>
      <c r="B54" s="58" t="s">
        <v>261</v>
      </c>
      <c r="C54" s="30" t="s">
        <v>262</v>
      </c>
      <c r="D54" s="31" t="s">
        <v>263</v>
      </c>
      <c r="E54" s="58">
        <v>8</v>
      </c>
      <c r="F54" s="58">
        <v>17</v>
      </c>
      <c r="G54" s="58">
        <v>1</v>
      </c>
      <c r="H54" s="58">
        <v>2</v>
      </c>
      <c r="I54" s="58">
        <v>1</v>
      </c>
      <c r="J54" s="58">
        <f>SUM(EVProj5[[#This Row],[★ Hard Case Voting Machines]:[★ Curbside (Rollie) Voting Machines]])</f>
        <v>21</v>
      </c>
      <c r="K54" s="58">
        <v>1</v>
      </c>
      <c r="L54" s="58">
        <v>9</v>
      </c>
      <c r="M54" s="58">
        <v>10</v>
      </c>
      <c r="N54" s="58">
        <v>1</v>
      </c>
      <c r="O54" s="58">
        <v>1</v>
      </c>
      <c r="P54" s="58">
        <v>21</v>
      </c>
      <c r="Q54" s="58">
        <v>14</v>
      </c>
      <c r="R54" s="59">
        <v>35250</v>
      </c>
      <c r="S54" s="58">
        <v>141</v>
      </c>
      <c r="T54" s="59">
        <f>IF(EVProj5[[#This Row],[★ Ballot Cards]]&gt;10000,10000,EVProj5[[#This Row],[★ Ballot Cards]])</f>
        <v>10000</v>
      </c>
      <c r="U54" s="58">
        <f>EVProj5[[#This Row],[Ballot Cards (max 10k)]]/250</f>
        <v>40</v>
      </c>
      <c r="V54" s="58">
        <f>EVProj5[[#This Row],[★ E-Pollbooks]]+EVProj5[[#This Row],[★ Soft Case (ADA) Voting Machines]]</f>
        <v>9</v>
      </c>
      <c r="W54" s="58">
        <f>EVProj5[[#This Row],[Tables Needed]]</f>
        <v>9</v>
      </c>
      <c r="X54" s="58">
        <v>0</v>
      </c>
      <c r="Y54" s="58">
        <v>0</v>
      </c>
      <c r="Z54" s="58">
        <f>IF(EVProj5[[#This Row],[Tables Needed]]-EVProj5[[#This Row],[Tables Provided by the Vote Center]]&lt;0,0,EVProj5[[#This Row],[Tables Needed]]-EVProj5[[#This Row],[Tables Provided by the Vote Center]])</f>
        <v>9</v>
      </c>
      <c r="AA54" s="58">
        <f>IF(EVProj5[[#This Row],[Chairs Needed]]-EVProj5[[#This Row],[Chairs Provided by the Vote Center]]&lt;0,0,EVProj5[[#This Row],[Chairs Needed]]-EVProj5[[#This Row],[Chairs Provided by the Vote Center]])</f>
        <v>9</v>
      </c>
    </row>
    <row r="55" spans="1:27">
      <c r="A55" s="58" t="s">
        <v>113</v>
      </c>
      <c r="B55" s="58" t="s">
        <v>264</v>
      </c>
      <c r="C55" s="30" t="s">
        <v>265</v>
      </c>
      <c r="D55" s="31" t="s">
        <v>266</v>
      </c>
      <c r="E55" s="58">
        <v>5</v>
      </c>
      <c r="F55" s="58">
        <v>16</v>
      </c>
      <c r="G55" s="58">
        <v>1</v>
      </c>
      <c r="H55" s="58">
        <v>1</v>
      </c>
      <c r="I55" s="58">
        <v>1</v>
      </c>
      <c r="J55" s="58">
        <f>SUM(EVProj5[[#This Row],[★ Hard Case Voting Machines]:[★ Curbside (Rollie) Voting Machines]])</f>
        <v>19</v>
      </c>
      <c r="K55" s="58">
        <v>1</v>
      </c>
      <c r="L55" s="58">
        <v>6</v>
      </c>
      <c r="M55" s="58">
        <v>7</v>
      </c>
      <c r="N55" s="58">
        <v>1</v>
      </c>
      <c r="O55" s="58">
        <v>1</v>
      </c>
      <c r="P55" s="58">
        <v>15</v>
      </c>
      <c r="Q55" s="58">
        <v>14</v>
      </c>
      <c r="R55" s="59">
        <v>13750</v>
      </c>
      <c r="S55" s="58">
        <v>55</v>
      </c>
      <c r="T55" s="59">
        <f>IF(EVProj5[[#This Row],[★ Ballot Cards]]&gt;10000,10000,EVProj5[[#This Row],[★ Ballot Cards]])</f>
        <v>10000</v>
      </c>
      <c r="U55" s="58">
        <f>EVProj5[[#This Row],[Ballot Cards (max 10k)]]/250</f>
        <v>40</v>
      </c>
      <c r="V55" s="58">
        <f>EVProj5[[#This Row],[★ E-Pollbooks]]+EVProj5[[#This Row],[★ Soft Case (ADA) Voting Machines]]</f>
        <v>6</v>
      </c>
      <c r="W55" s="58">
        <f>EVProj5[[#This Row],[Tables Needed]]</f>
        <v>6</v>
      </c>
      <c r="X55" s="58">
        <v>8</v>
      </c>
      <c r="Y55" s="58">
        <v>12</v>
      </c>
      <c r="Z55" s="58">
        <f>IF(EVProj5[[#This Row],[Tables Needed]]-EVProj5[[#This Row],[Tables Provided by the Vote Center]]&lt;0,0,EVProj5[[#This Row],[Tables Needed]]-EVProj5[[#This Row],[Tables Provided by the Vote Center]])</f>
        <v>0</v>
      </c>
      <c r="AA55" s="58">
        <f>IF(EVProj5[[#This Row],[Chairs Needed]]-EVProj5[[#This Row],[Chairs Provided by the Vote Center]]&lt;0,0,EVProj5[[#This Row],[Chairs Needed]]-EVProj5[[#This Row],[Chairs Provided by the Vote Center]])</f>
        <v>0</v>
      </c>
    </row>
    <row r="56" spans="1:27">
      <c r="A56" s="58" t="s">
        <v>113</v>
      </c>
      <c r="B56" s="58" t="s">
        <v>267</v>
      </c>
      <c r="C56" s="30" t="s">
        <v>268</v>
      </c>
      <c r="D56" s="31" t="s">
        <v>269</v>
      </c>
      <c r="E56" s="58">
        <v>6</v>
      </c>
      <c r="F56" s="58">
        <v>11</v>
      </c>
      <c r="G56" s="58">
        <v>1</v>
      </c>
      <c r="H56" s="58">
        <v>1</v>
      </c>
      <c r="I56" s="58">
        <v>1</v>
      </c>
      <c r="J56" s="58">
        <f>SUM(EVProj5[[#This Row],[★ Hard Case Voting Machines]:[★ Curbside (Rollie) Voting Machines]])</f>
        <v>14</v>
      </c>
      <c r="K56" s="58">
        <v>1</v>
      </c>
      <c r="L56" s="58">
        <v>7</v>
      </c>
      <c r="M56" s="58">
        <v>7</v>
      </c>
      <c r="N56" s="58">
        <v>1</v>
      </c>
      <c r="O56" s="58">
        <v>1</v>
      </c>
      <c r="P56" s="58">
        <v>16</v>
      </c>
      <c r="Q56" s="58">
        <v>12</v>
      </c>
      <c r="R56" s="59">
        <v>12250</v>
      </c>
      <c r="S56" s="58">
        <v>49</v>
      </c>
      <c r="T56" s="59">
        <f>IF(EVProj5[[#This Row],[★ Ballot Cards]]&gt;10000,10000,EVProj5[[#This Row],[★ Ballot Cards]])</f>
        <v>10000</v>
      </c>
      <c r="U56" s="58">
        <f>EVProj5[[#This Row],[Ballot Cards (max 10k)]]/250</f>
        <v>40</v>
      </c>
      <c r="V56" s="58">
        <f>EVProj5[[#This Row],[★ E-Pollbooks]]+EVProj5[[#This Row],[★ Soft Case (ADA) Voting Machines]]</f>
        <v>7</v>
      </c>
      <c r="W56" s="58">
        <f>EVProj5[[#This Row],[Tables Needed]]</f>
        <v>7</v>
      </c>
      <c r="X56" s="58">
        <v>0</v>
      </c>
      <c r="Y56" s="58">
        <v>0</v>
      </c>
      <c r="Z56" s="58">
        <f>IF(EVProj5[[#This Row],[Tables Needed]]-EVProj5[[#This Row],[Tables Provided by the Vote Center]]&lt;0,0,EVProj5[[#This Row],[Tables Needed]]-EVProj5[[#This Row],[Tables Provided by the Vote Center]])</f>
        <v>7</v>
      </c>
      <c r="AA56" s="58">
        <f>IF(EVProj5[[#This Row],[Chairs Needed]]-EVProj5[[#This Row],[Chairs Provided by the Vote Center]]&lt;0,0,EVProj5[[#This Row],[Chairs Needed]]-EVProj5[[#This Row],[Chairs Provided by the Vote Center]])</f>
        <v>7</v>
      </c>
    </row>
    <row r="57" spans="1:27">
      <c r="A57" s="58" t="s">
        <v>113</v>
      </c>
      <c r="B57" s="58" t="s">
        <v>270</v>
      </c>
      <c r="C57" s="30" t="s">
        <v>271</v>
      </c>
      <c r="D57" s="31" t="s">
        <v>272</v>
      </c>
      <c r="E57" s="58">
        <v>6</v>
      </c>
      <c r="F57" s="58">
        <v>15</v>
      </c>
      <c r="G57" s="58">
        <v>1</v>
      </c>
      <c r="H57" s="58">
        <v>1</v>
      </c>
      <c r="I57" s="58">
        <v>1</v>
      </c>
      <c r="J57" s="58">
        <f>SUM(EVProj5[[#This Row],[★ Hard Case Voting Machines]:[★ Curbside (Rollie) Voting Machines]])</f>
        <v>18</v>
      </c>
      <c r="K57" s="58">
        <v>1</v>
      </c>
      <c r="L57" s="58">
        <v>7</v>
      </c>
      <c r="M57" s="58">
        <v>7</v>
      </c>
      <c r="N57" s="58">
        <v>1</v>
      </c>
      <c r="O57" s="58">
        <v>1</v>
      </c>
      <c r="P57" s="58">
        <v>16</v>
      </c>
      <c r="Q57" s="58">
        <v>13</v>
      </c>
      <c r="R57" s="59">
        <v>12500</v>
      </c>
      <c r="S57" s="58">
        <v>50</v>
      </c>
      <c r="T57" s="59">
        <f>IF(EVProj5[[#This Row],[★ Ballot Cards]]&gt;10000,10000,EVProj5[[#This Row],[★ Ballot Cards]])</f>
        <v>10000</v>
      </c>
      <c r="U57" s="58">
        <f>EVProj5[[#This Row],[Ballot Cards (max 10k)]]/250</f>
        <v>40</v>
      </c>
      <c r="V57" s="58">
        <f>EVProj5[[#This Row],[★ E-Pollbooks]]+EVProj5[[#This Row],[★ Soft Case (ADA) Voting Machines]]</f>
        <v>7</v>
      </c>
      <c r="W57" s="58">
        <f>EVProj5[[#This Row],[Tables Needed]]</f>
        <v>7</v>
      </c>
      <c r="X57" s="58">
        <v>0</v>
      </c>
      <c r="Y57" s="58">
        <v>0</v>
      </c>
      <c r="Z57" s="58">
        <f>IF(EVProj5[[#This Row],[Tables Needed]]-EVProj5[[#This Row],[Tables Provided by the Vote Center]]&lt;0,0,EVProj5[[#This Row],[Tables Needed]]-EVProj5[[#This Row],[Tables Provided by the Vote Center]])</f>
        <v>7</v>
      </c>
      <c r="AA57" s="58">
        <f>IF(EVProj5[[#This Row],[Chairs Needed]]-EVProj5[[#This Row],[Chairs Provided by the Vote Center]]&lt;0,0,EVProj5[[#This Row],[Chairs Needed]]-EVProj5[[#This Row],[Chairs Provided by the Vote Center]])</f>
        <v>7</v>
      </c>
    </row>
    <row r="58" spans="1:27">
      <c r="A58" s="58" t="s">
        <v>113</v>
      </c>
      <c r="B58" s="58" t="s">
        <v>273</v>
      </c>
      <c r="C58" s="30" t="s">
        <v>274</v>
      </c>
      <c r="D58" s="31" t="s">
        <v>275</v>
      </c>
      <c r="E58" s="58">
        <v>6</v>
      </c>
      <c r="F58" s="58">
        <v>17</v>
      </c>
      <c r="G58" s="58">
        <v>1</v>
      </c>
      <c r="H58" s="58">
        <v>2</v>
      </c>
      <c r="I58" s="58">
        <v>0</v>
      </c>
      <c r="J58" s="58">
        <f>SUM(EVProj5[[#This Row],[★ Hard Case Voting Machines]:[★ Curbside (Rollie) Voting Machines]])</f>
        <v>20</v>
      </c>
      <c r="K58" s="58">
        <v>1</v>
      </c>
      <c r="L58" s="58">
        <v>7</v>
      </c>
      <c r="M58" s="58">
        <v>7</v>
      </c>
      <c r="N58" s="58">
        <v>1</v>
      </c>
      <c r="O58" s="58">
        <v>1</v>
      </c>
      <c r="P58" s="58">
        <v>16</v>
      </c>
      <c r="Q58" s="58">
        <v>14</v>
      </c>
      <c r="R58" s="59">
        <v>14000</v>
      </c>
      <c r="S58" s="58">
        <v>56</v>
      </c>
      <c r="T58" s="59">
        <f>IF(EVProj5[[#This Row],[★ Ballot Cards]]&gt;10000,10000,EVProj5[[#This Row],[★ Ballot Cards]])</f>
        <v>10000</v>
      </c>
      <c r="U58" s="58">
        <f>EVProj5[[#This Row],[Ballot Cards (max 10k)]]/250</f>
        <v>40</v>
      </c>
      <c r="V58" s="58">
        <f>EVProj5[[#This Row],[★ E-Pollbooks]]+EVProj5[[#This Row],[★ Soft Case (ADA) Voting Machines]]</f>
        <v>7</v>
      </c>
      <c r="W58" s="58">
        <f>EVProj5[[#This Row],[Tables Needed]]</f>
        <v>7</v>
      </c>
      <c r="X58" s="58">
        <v>0</v>
      </c>
      <c r="Y58" s="58">
        <v>0</v>
      </c>
      <c r="Z58" s="58">
        <f>IF(EVProj5[[#This Row],[Tables Needed]]-EVProj5[[#This Row],[Tables Provided by the Vote Center]]&lt;0,0,EVProj5[[#This Row],[Tables Needed]]-EVProj5[[#This Row],[Tables Provided by the Vote Center]])</f>
        <v>7</v>
      </c>
      <c r="AA58" s="58">
        <f>IF(EVProj5[[#This Row],[Chairs Needed]]-EVProj5[[#This Row],[Chairs Provided by the Vote Center]]&lt;0,0,EVProj5[[#This Row],[Chairs Needed]]-EVProj5[[#This Row],[Chairs Provided by the Vote Center]])</f>
        <v>7</v>
      </c>
    </row>
    <row r="59" spans="1:27">
      <c r="A59" s="58" t="s">
        <v>113</v>
      </c>
      <c r="B59" s="58" t="s">
        <v>82</v>
      </c>
      <c r="C59" s="87" t="s">
        <v>78</v>
      </c>
      <c r="D59" s="88" t="s">
        <v>79</v>
      </c>
      <c r="E59" s="89">
        <v>10</v>
      </c>
      <c r="F59" s="89">
        <v>23</v>
      </c>
      <c r="G59" s="89">
        <v>1</v>
      </c>
      <c r="H59" s="89">
        <v>2</v>
      </c>
      <c r="I59" s="48">
        <v>1</v>
      </c>
      <c r="J59" s="89">
        <f>SUM(EVProj5[[#This Row],[★ Hard Case Voting Machines]:[★ Curbside (Rollie) Voting Machines]])</f>
        <v>27</v>
      </c>
      <c r="K59" s="89">
        <v>1</v>
      </c>
      <c r="L59" s="86">
        <v>8</v>
      </c>
      <c r="M59" s="86">
        <v>8</v>
      </c>
      <c r="N59" s="89">
        <v>1</v>
      </c>
      <c r="O59" s="89">
        <v>1</v>
      </c>
      <c r="P59" s="89">
        <v>18</v>
      </c>
      <c r="Q59" s="89">
        <v>18</v>
      </c>
      <c r="R59" s="90">
        <v>26750</v>
      </c>
      <c r="S59" s="89">
        <v>107</v>
      </c>
      <c r="T59" s="70">
        <f>IF(EVProj5[[#This Row],[★ Ballot Cards]]&gt;10000,10000,EVProj5[[#This Row],[★ Ballot Cards]])</f>
        <v>10000</v>
      </c>
      <c r="U59" s="86">
        <f>EVProj5[[#This Row],[Ballot Cards (max 10k)]]/250</f>
        <v>40</v>
      </c>
      <c r="V59" s="89">
        <f>EVProj5[[#This Row],[★ E-Pollbooks]]+EVProj5[[#This Row],[★ Soft Case (ADA) Voting Machines]]</f>
        <v>11</v>
      </c>
      <c r="W59" s="89">
        <f>EVProj5[[#This Row],[Tables Needed]]</f>
        <v>11</v>
      </c>
      <c r="X59" s="89">
        <v>0</v>
      </c>
      <c r="Y59" s="89">
        <v>50</v>
      </c>
      <c r="Z59" s="89">
        <f>IF(EVProj5[[#This Row],[Tables Needed]]-EVProj5[[#This Row],[Tables Provided by the Vote Center]]&lt;0,0,EVProj5[[#This Row],[Tables Needed]]-EVProj5[[#This Row],[Tables Provided by the Vote Center]])</f>
        <v>11</v>
      </c>
      <c r="AA59" s="89">
        <f>IF(EVProj5[[#This Row],[Chairs Needed]]-EVProj5[[#This Row],[Chairs Provided by the Vote Center]]&lt;0,0,EVProj5[[#This Row],[Chairs Needed]]-EVProj5[[#This Row],[Chairs Provided by the Vote Center]])</f>
        <v>0</v>
      </c>
    </row>
    <row r="60" spans="1:27">
      <c r="A60" s="58" t="s">
        <v>113</v>
      </c>
      <c r="B60" s="58" t="s">
        <v>276</v>
      </c>
      <c r="C60" s="65" t="s">
        <v>277</v>
      </c>
      <c r="D60" s="31" t="s">
        <v>278</v>
      </c>
      <c r="E60" s="58">
        <v>7</v>
      </c>
      <c r="F60" s="58">
        <v>18</v>
      </c>
      <c r="G60" s="58">
        <v>1</v>
      </c>
      <c r="H60" s="58">
        <v>1</v>
      </c>
      <c r="I60" s="58">
        <v>1</v>
      </c>
      <c r="J60" s="58">
        <f>SUM(EVProj5[[#This Row],[★ Hard Case Voting Machines]:[★ Curbside (Rollie) Voting Machines]])</f>
        <v>21</v>
      </c>
      <c r="K60" s="58">
        <v>1</v>
      </c>
      <c r="L60" s="58">
        <v>8</v>
      </c>
      <c r="M60" s="58">
        <v>8</v>
      </c>
      <c r="N60" s="58">
        <v>1</v>
      </c>
      <c r="O60" s="58">
        <v>1</v>
      </c>
      <c r="P60" s="58">
        <v>18</v>
      </c>
      <c r="Q60" s="58">
        <v>12</v>
      </c>
      <c r="R60" s="59">
        <v>13750</v>
      </c>
      <c r="S60" s="58">
        <v>55</v>
      </c>
      <c r="T60" s="59">
        <f>IF(EVProj5[[#This Row],[★ Ballot Cards]]&gt;10000,10000,EVProj5[[#This Row],[★ Ballot Cards]])</f>
        <v>10000</v>
      </c>
      <c r="U60" s="58">
        <f>EVProj5[[#This Row],[Ballot Cards (max 10k)]]/250</f>
        <v>40</v>
      </c>
      <c r="V60" s="58">
        <f>EVProj5[[#This Row],[★ E-Pollbooks]]+EVProj5[[#This Row],[★ Soft Case (ADA) Voting Machines]]</f>
        <v>8</v>
      </c>
      <c r="W60" s="58">
        <f>EVProj5[[#This Row],[Tables Needed]]</f>
        <v>8</v>
      </c>
      <c r="X60" s="58">
        <v>15</v>
      </c>
      <c r="Y60" s="58">
        <v>96</v>
      </c>
      <c r="Z60" s="58">
        <f>IF(EVProj5[[#This Row],[Tables Needed]]-EVProj5[[#This Row],[Tables Provided by the Vote Center]]&lt;0,0,EVProj5[[#This Row],[Tables Needed]]-EVProj5[[#This Row],[Tables Provided by the Vote Center]])</f>
        <v>0</v>
      </c>
      <c r="AA60" s="58">
        <f>IF(EVProj5[[#This Row],[Chairs Needed]]-EVProj5[[#This Row],[Chairs Provided by the Vote Center]]&lt;0,0,EVProj5[[#This Row],[Chairs Needed]]-EVProj5[[#This Row],[Chairs Provided by the Vote Center]])</f>
        <v>0</v>
      </c>
    </row>
    <row r="61" spans="1:27">
      <c r="A61" s="58" t="s">
        <v>113</v>
      </c>
      <c r="B61" s="58" t="s">
        <v>279</v>
      </c>
      <c r="C61" s="30" t="s">
        <v>280</v>
      </c>
      <c r="D61" s="31" t="s">
        <v>281</v>
      </c>
      <c r="E61" s="58">
        <v>6</v>
      </c>
      <c r="F61" s="58">
        <v>17</v>
      </c>
      <c r="G61" s="58">
        <v>1</v>
      </c>
      <c r="H61" s="58">
        <v>2</v>
      </c>
      <c r="I61" s="58">
        <v>0</v>
      </c>
      <c r="J61" s="58">
        <f>SUM(EVProj5[[#This Row],[★ Hard Case Voting Machines]:[★ Curbside (Rollie) Voting Machines]])</f>
        <v>20</v>
      </c>
      <c r="K61" s="58">
        <v>1</v>
      </c>
      <c r="L61" s="58">
        <v>7</v>
      </c>
      <c r="M61" s="58">
        <v>7</v>
      </c>
      <c r="N61" s="58">
        <v>1</v>
      </c>
      <c r="O61" s="58">
        <v>1</v>
      </c>
      <c r="P61" s="58">
        <v>16</v>
      </c>
      <c r="Q61" s="58">
        <v>14</v>
      </c>
      <c r="R61" s="59">
        <v>16250</v>
      </c>
      <c r="S61" s="58">
        <v>65</v>
      </c>
      <c r="T61" s="59">
        <f>IF(EVProj5[[#This Row],[★ Ballot Cards]]&gt;10000,10000,EVProj5[[#This Row],[★ Ballot Cards]])</f>
        <v>10000</v>
      </c>
      <c r="U61" s="58">
        <f>EVProj5[[#This Row],[Ballot Cards (max 10k)]]/250</f>
        <v>40</v>
      </c>
      <c r="V61" s="58">
        <f>EVProj5[[#This Row],[★ E-Pollbooks]]+EVProj5[[#This Row],[★ Soft Case (ADA) Voting Machines]]</f>
        <v>7</v>
      </c>
      <c r="W61" s="58">
        <f>EVProj5[[#This Row],[Tables Needed]]</f>
        <v>7</v>
      </c>
      <c r="X61" s="58">
        <v>12</v>
      </c>
      <c r="Y61" s="58">
        <v>46</v>
      </c>
      <c r="Z61" s="58">
        <f>IF(EVProj5[[#This Row],[Tables Needed]]-EVProj5[[#This Row],[Tables Provided by the Vote Center]]&lt;0,0,EVProj5[[#This Row],[Tables Needed]]-EVProj5[[#This Row],[Tables Provided by the Vote Center]])</f>
        <v>0</v>
      </c>
      <c r="AA61" s="58">
        <f>IF(EVProj5[[#This Row],[Chairs Needed]]-EVProj5[[#This Row],[Chairs Provided by the Vote Center]]&lt;0,0,EVProj5[[#This Row],[Chairs Needed]]-EVProj5[[#This Row],[Chairs Provided by the Vote Center]])</f>
        <v>0</v>
      </c>
    </row>
    <row r="62" spans="1:27">
      <c r="A62" s="58" t="s">
        <v>113</v>
      </c>
      <c r="B62" s="58" t="s">
        <v>282</v>
      </c>
      <c r="C62" s="30" t="s">
        <v>283</v>
      </c>
      <c r="D62" s="31" t="s">
        <v>284</v>
      </c>
      <c r="E62" s="58">
        <v>7</v>
      </c>
      <c r="F62" s="58">
        <v>22</v>
      </c>
      <c r="G62" s="58">
        <v>1</v>
      </c>
      <c r="H62" s="58">
        <v>2</v>
      </c>
      <c r="I62" s="58">
        <v>1</v>
      </c>
      <c r="J62" s="58">
        <f>SUM(EVProj5[[#This Row],[★ Hard Case Voting Machines]:[★ Curbside (Rollie) Voting Machines]])</f>
        <v>26</v>
      </c>
      <c r="K62" s="58">
        <v>1</v>
      </c>
      <c r="L62" s="58">
        <v>9</v>
      </c>
      <c r="M62" s="58">
        <v>9</v>
      </c>
      <c r="N62" s="58">
        <v>1</v>
      </c>
      <c r="O62" s="58">
        <v>1</v>
      </c>
      <c r="P62" s="58">
        <v>20</v>
      </c>
      <c r="Q62" s="58">
        <v>16</v>
      </c>
      <c r="R62" s="59">
        <v>26750</v>
      </c>
      <c r="S62" s="58">
        <v>107</v>
      </c>
      <c r="T62" s="59">
        <f>IF(EVProj5[[#This Row],[★ Ballot Cards]]&gt;10000,10000,EVProj5[[#This Row],[★ Ballot Cards]])</f>
        <v>10000</v>
      </c>
      <c r="U62" s="58">
        <f>EVProj5[[#This Row],[Ballot Cards (max 10k)]]/250</f>
        <v>40</v>
      </c>
      <c r="V62" s="58">
        <f>EVProj5[[#This Row],[★ E-Pollbooks]]+EVProj5[[#This Row],[★ Soft Case (ADA) Voting Machines]]</f>
        <v>8</v>
      </c>
      <c r="W62" s="58">
        <f>EVProj5[[#This Row],[Tables Needed]]</f>
        <v>8</v>
      </c>
      <c r="X62" s="58">
        <v>8</v>
      </c>
      <c r="Y62" s="58">
        <v>20</v>
      </c>
      <c r="Z62" s="58">
        <f>IF(EVProj5[[#This Row],[Tables Needed]]-EVProj5[[#This Row],[Tables Provided by the Vote Center]]&lt;0,0,EVProj5[[#This Row],[Tables Needed]]-EVProj5[[#This Row],[Tables Provided by the Vote Center]])</f>
        <v>0</v>
      </c>
      <c r="AA62" s="58">
        <f>IF(EVProj5[[#This Row],[Chairs Needed]]-EVProj5[[#This Row],[Chairs Provided by the Vote Center]]&lt;0,0,EVProj5[[#This Row],[Chairs Needed]]-EVProj5[[#This Row],[Chairs Provided by the Vote Center]])</f>
        <v>0</v>
      </c>
    </row>
    <row r="63" spans="1:27">
      <c r="A63" s="58" t="s">
        <v>113</v>
      </c>
      <c r="B63" s="58" t="s">
        <v>285</v>
      </c>
      <c r="C63" s="30" t="s">
        <v>286</v>
      </c>
      <c r="D63" s="31" t="s">
        <v>287</v>
      </c>
      <c r="E63" s="58">
        <v>4</v>
      </c>
      <c r="F63" s="58">
        <v>10</v>
      </c>
      <c r="G63" s="58">
        <v>1</v>
      </c>
      <c r="H63" s="58">
        <v>1</v>
      </c>
      <c r="I63" s="58">
        <v>1</v>
      </c>
      <c r="J63" s="58">
        <f>SUM(EVProj5[[#This Row],[★ Hard Case Voting Machines]:[★ Curbside (Rollie) Voting Machines]])</f>
        <v>13</v>
      </c>
      <c r="K63" s="58">
        <v>1</v>
      </c>
      <c r="L63" s="58">
        <v>4</v>
      </c>
      <c r="M63" s="58">
        <v>4</v>
      </c>
      <c r="N63" s="58">
        <v>1</v>
      </c>
      <c r="O63" s="58">
        <v>1</v>
      </c>
      <c r="P63" s="58">
        <v>10</v>
      </c>
      <c r="Q63" s="58">
        <v>11</v>
      </c>
      <c r="R63" s="59">
        <v>4750</v>
      </c>
      <c r="S63" s="58">
        <v>19</v>
      </c>
      <c r="T63" s="59">
        <f>IF(EVProj5[[#This Row],[★ Ballot Cards]]&gt;10000,10000,EVProj5[[#This Row],[★ Ballot Cards]])</f>
        <v>4750</v>
      </c>
      <c r="U63" s="58">
        <f>EVProj5[[#This Row],[Ballot Cards (max 10k)]]/250</f>
        <v>19</v>
      </c>
      <c r="V63" s="58">
        <f>EVProj5[[#This Row],[★ E-Pollbooks]]+EVProj5[[#This Row],[★ Soft Case (ADA) Voting Machines]]</f>
        <v>5</v>
      </c>
      <c r="W63" s="58">
        <f>EVProj5[[#This Row],[Tables Needed]]</f>
        <v>5</v>
      </c>
      <c r="X63" s="58">
        <v>0</v>
      </c>
      <c r="Y63" s="58">
        <v>0</v>
      </c>
      <c r="Z63" s="58">
        <f>IF(EVProj5[[#This Row],[Tables Needed]]-EVProj5[[#This Row],[Tables Provided by the Vote Center]]&lt;0,0,EVProj5[[#This Row],[Tables Needed]]-EVProj5[[#This Row],[Tables Provided by the Vote Center]])</f>
        <v>5</v>
      </c>
      <c r="AA63" s="58">
        <f>IF(EVProj5[[#This Row],[Chairs Needed]]-EVProj5[[#This Row],[Chairs Provided by the Vote Center]]&lt;0,0,EVProj5[[#This Row],[Chairs Needed]]-EVProj5[[#This Row],[Chairs Provided by the Vote Center]])</f>
        <v>5</v>
      </c>
    </row>
    <row r="64" spans="1:27">
      <c r="A64" s="58" t="s">
        <v>113</v>
      </c>
      <c r="B64" s="58" t="s">
        <v>288</v>
      </c>
      <c r="C64" s="30" t="s">
        <v>289</v>
      </c>
      <c r="D64" s="31" t="s">
        <v>290</v>
      </c>
      <c r="E64" s="58">
        <v>6</v>
      </c>
      <c r="F64" s="58">
        <v>16</v>
      </c>
      <c r="G64" s="58">
        <v>1</v>
      </c>
      <c r="H64" s="58">
        <v>1</v>
      </c>
      <c r="I64" s="58">
        <v>1</v>
      </c>
      <c r="J64" s="58">
        <f>SUM(EVProj5[[#This Row],[★ Hard Case Voting Machines]:[★ Curbside (Rollie) Voting Machines]])</f>
        <v>19</v>
      </c>
      <c r="K64" s="58">
        <v>1</v>
      </c>
      <c r="L64" s="58">
        <v>7</v>
      </c>
      <c r="M64" s="58">
        <v>7</v>
      </c>
      <c r="N64" s="58">
        <v>1</v>
      </c>
      <c r="O64" s="58">
        <v>1</v>
      </c>
      <c r="P64" s="58">
        <v>16</v>
      </c>
      <c r="Q64" s="58">
        <v>14</v>
      </c>
      <c r="R64" s="59">
        <v>13500</v>
      </c>
      <c r="S64" s="58">
        <v>54</v>
      </c>
      <c r="T64" s="59">
        <f>IF(EVProj5[[#This Row],[★ Ballot Cards]]&gt;10000,10000,EVProj5[[#This Row],[★ Ballot Cards]])</f>
        <v>10000</v>
      </c>
      <c r="U64" s="58">
        <f>EVProj5[[#This Row],[Ballot Cards (max 10k)]]/250</f>
        <v>40</v>
      </c>
      <c r="V64" s="58">
        <f>EVProj5[[#This Row],[★ E-Pollbooks]]+EVProj5[[#This Row],[★ Soft Case (ADA) Voting Machines]]</f>
        <v>7</v>
      </c>
      <c r="W64" s="58">
        <f>EVProj5[[#This Row],[Tables Needed]]</f>
        <v>7</v>
      </c>
      <c r="X64" s="58">
        <v>0</v>
      </c>
      <c r="Y64" s="58">
        <v>0</v>
      </c>
      <c r="Z64" s="58">
        <f>IF(EVProj5[[#This Row],[Tables Needed]]-EVProj5[[#This Row],[Tables Provided by the Vote Center]]&lt;0,0,EVProj5[[#This Row],[Tables Needed]]-EVProj5[[#This Row],[Tables Provided by the Vote Center]])</f>
        <v>7</v>
      </c>
      <c r="AA64" s="58">
        <f>IF(EVProj5[[#This Row],[Chairs Needed]]-EVProj5[[#This Row],[Chairs Provided by the Vote Center]]&lt;0,0,EVProj5[[#This Row],[Chairs Needed]]-EVProj5[[#This Row],[Chairs Provided by the Vote Center]])</f>
        <v>7</v>
      </c>
    </row>
    <row r="65" spans="1:27">
      <c r="A65" s="58" t="s">
        <v>113</v>
      </c>
      <c r="B65" s="58" t="s">
        <v>291</v>
      </c>
      <c r="C65" s="30" t="s">
        <v>292</v>
      </c>
      <c r="D65" s="31" t="s">
        <v>293</v>
      </c>
      <c r="E65" s="58">
        <v>8</v>
      </c>
      <c r="F65" s="58">
        <v>21</v>
      </c>
      <c r="G65" s="66">
        <v>3</v>
      </c>
      <c r="H65" s="58">
        <v>2</v>
      </c>
      <c r="I65" s="58">
        <v>1</v>
      </c>
      <c r="J65" s="58">
        <f>SUM(EVProj5[[#This Row],[★ Hard Case Voting Machines]:[★ Curbside (Rollie) Voting Machines]])</f>
        <v>27</v>
      </c>
      <c r="K65" s="58">
        <v>1</v>
      </c>
      <c r="L65" s="58">
        <v>9</v>
      </c>
      <c r="M65" s="58">
        <v>9</v>
      </c>
      <c r="N65" s="58">
        <v>1</v>
      </c>
      <c r="O65" s="58">
        <v>1</v>
      </c>
      <c r="P65" s="58">
        <v>20</v>
      </c>
      <c r="Q65" s="58">
        <v>17</v>
      </c>
      <c r="R65" s="59">
        <v>24250</v>
      </c>
      <c r="S65" s="58">
        <v>97</v>
      </c>
      <c r="T65" s="59">
        <f>IF(EVProj5[[#This Row],[★ Ballot Cards]]&gt;10000,10000,EVProj5[[#This Row],[★ Ballot Cards]])</f>
        <v>10000</v>
      </c>
      <c r="U65" s="58">
        <f>EVProj5[[#This Row],[Ballot Cards (max 10k)]]/250</f>
        <v>40</v>
      </c>
      <c r="V65" s="58">
        <f>EVProj5[[#This Row],[★ E-Pollbooks]]+EVProj5[[#This Row],[★ Soft Case (ADA) Voting Machines]]</f>
        <v>11</v>
      </c>
      <c r="W65" s="58">
        <f>EVProj5[[#This Row],[Tables Needed]]</f>
        <v>11</v>
      </c>
      <c r="X65" s="58">
        <v>25</v>
      </c>
      <c r="Y65" s="58">
        <v>100</v>
      </c>
      <c r="Z65" s="58">
        <f>IF(EVProj5[[#This Row],[Tables Needed]]-EVProj5[[#This Row],[Tables Provided by the Vote Center]]&lt;0,0,EVProj5[[#This Row],[Tables Needed]]-EVProj5[[#This Row],[Tables Provided by the Vote Center]])</f>
        <v>0</v>
      </c>
      <c r="AA65" s="58">
        <f>IF(EVProj5[[#This Row],[Chairs Needed]]-EVProj5[[#This Row],[Chairs Provided by the Vote Center]]&lt;0,0,EVProj5[[#This Row],[Chairs Needed]]-EVProj5[[#This Row],[Chairs Provided by the Vote Center]])</f>
        <v>0</v>
      </c>
    </row>
    <row r="66" spans="1:27" s="69" customFormat="1">
      <c r="A66" s="68" t="s">
        <v>294</v>
      </c>
      <c r="B66" s="68" t="s">
        <v>295</v>
      </c>
      <c r="C66" s="65" t="s">
        <v>296</v>
      </c>
      <c r="D66" s="31" t="s">
        <v>297</v>
      </c>
      <c r="E66" s="58">
        <v>4</v>
      </c>
      <c r="F66" s="58">
        <v>10</v>
      </c>
      <c r="G66" s="58">
        <v>1</v>
      </c>
      <c r="H66" s="58">
        <v>1</v>
      </c>
      <c r="I66" s="58">
        <v>1</v>
      </c>
      <c r="J66" s="58">
        <f>SUM(EVProj5[[#This Row],[★ Hard Case Voting Machines]:[★ Curbside (Rollie) Voting Machines]])</f>
        <v>13</v>
      </c>
      <c r="K66" s="58">
        <v>1</v>
      </c>
      <c r="L66" s="58">
        <v>3</v>
      </c>
      <c r="M66" s="58">
        <v>4</v>
      </c>
      <c r="N66" s="58">
        <v>1</v>
      </c>
      <c r="O66" s="58">
        <v>1</v>
      </c>
      <c r="P66" s="58">
        <v>9</v>
      </c>
      <c r="Q66" s="58">
        <v>11</v>
      </c>
      <c r="R66" s="59">
        <v>4250</v>
      </c>
      <c r="S66" s="58">
        <v>17</v>
      </c>
      <c r="T66" s="59">
        <f>IF(EVProj5[[#This Row],[★ Ballot Cards]]&gt;10000,10000,EVProj5[[#This Row],[★ Ballot Cards]])</f>
        <v>4250</v>
      </c>
      <c r="U66" s="58">
        <f>EVProj5[[#This Row],[Ballot Cards (max 10k)]]/250</f>
        <v>17</v>
      </c>
      <c r="V66" s="58">
        <f>EVProj5[[#This Row],[★ E-Pollbooks]]+EVProj5[[#This Row],[★ Soft Case (ADA) Voting Machines]]</f>
        <v>5</v>
      </c>
      <c r="W66" s="58">
        <f>EVProj5[[#This Row],[Tables Needed]]</f>
        <v>5</v>
      </c>
      <c r="X66" s="58">
        <v>8</v>
      </c>
      <c r="Y66" s="58">
        <v>70</v>
      </c>
      <c r="Z66" s="58">
        <f>IF(EVProj5[[#This Row],[Tables Needed]]-EVProj5[[#This Row],[Tables Provided by the Vote Center]]&lt;0,0,EVProj5[[#This Row],[Tables Needed]]-EVProj5[[#This Row],[Tables Provided by the Vote Center]])</f>
        <v>0</v>
      </c>
      <c r="AA66" s="58">
        <f>IF(EVProj5[[#This Row],[Chairs Needed]]-EVProj5[[#This Row],[Chairs Provided by the Vote Center]]&lt;0,0,EVProj5[[#This Row],[Chairs Needed]]-EVProj5[[#This Row],[Chairs Provided by the Vote Center]])</f>
        <v>0</v>
      </c>
    </row>
    <row r="67" spans="1:27">
      <c r="A67" s="58" t="s">
        <v>113</v>
      </c>
      <c r="B67" s="58" t="s">
        <v>298</v>
      </c>
      <c r="C67" s="30" t="s">
        <v>299</v>
      </c>
      <c r="D67" s="31" t="s">
        <v>300</v>
      </c>
      <c r="E67" s="58">
        <v>5</v>
      </c>
      <c r="F67" s="58">
        <v>17</v>
      </c>
      <c r="G67" s="58">
        <v>1</v>
      </c>
      <c r="H67" s="58">
        <v>1</v>
      </c>
      <c r="I67" s="58">
        <v>1</v>
      </c>
      <c r="J67" s="58">
        <f>SUM(EVProj5[[#This Row],[★ Hard Case Voting Machines]:[★ Curbside (Rollie) Voting Machines]])</f>
        <v>20</v>
      </c>
      <c r="K67" s="58">
        <v>1</v>
      </c>
      <c r="L67" s="58">
        <v>5</v>
      </c>
      <c r="M67" s="58">
        <v>6</v>
      </c>
      <c r="N67" s="58">
        <v>1</v>
      </c>
      <c r="O67" s="58">
        <v>1</v>
      </c>
      <c r="P67" s="58">
        <v>13</v>
      </c>
      <c r="Q67" s="58">
        <v>13</v>
      </c>
      <c r="R67" s="59">
        <v>8250</v>
      </c>
      <c r="S67" s="58">
        <v>33</v>
      </c>
      <c r="T67" s="59">
        <f>IF(EVProj5[[#This Row],[★ Ballot Cards]]&gt;10000,10000,EVProj5[[#This Row],[★ Ballot Cards]])</f>
        <v>8250</v>
      </c>
      <c r="U67" s="58">
        <f>EVProj5[[#This Row],[Ballot Cards (max 10k)]]/250</f>
        <v>33</v>
      </c>
      <c r="V67" s="58">
        <f>EVProj5[[#This Row],[★ E-Pollbooks]]+EVProj5[[#This Row],[★ Soft Case (ADA) Voting Machines]]</f>
        <v>6</v>
      </c>
      <c r="W67" s="58">
        <f>EVProj5[[#This Row],[Tables Needed]]</f>
        <v>6</v>
      </c>
      <c r="X67" s="58">
        <v>10</v>
      </c>
      <c r="Y67" s="58">
        <v>75</v>
      </c>
      <c r="Z67" s="58">
        <f>IF(EVProj5[[#This Row],[Tables Needed]]-EVProj5[[#This Row],[Tables Provided by the Vote Center]]&lt;0,0,EVProj5[[#This Row],[Tables Needed]]-EVProj5[[#This Row],[Tables Provided by the Vote Center]])</f>
        <v>0</v>
      </c>
      <c r="AA67" s="58">
        <f>IF(EVProj5[[#This Row],[Chairs Needed]]-EVProj5[[#This Row],[Chairs Provided by the Vote Center]]&lt;0,0,EVProj5[[#This Row],[Chairs Needed]]-EVProj5[[#This Row],[Chairs Provided by the Vote Center]])</f>
        <v>0</v>
      </c>
    </row>
    <row r="68" spans="1:27" s="69" customFormat="1">
      <c r="A68" s="58" t="s">
        <v>113</v>
      </c>
      <c r="B68" s="58" t="s">
        <v>301</v>
      </c>
      <c r="C68" s="30" t="s">
        <v>302</v>
      </c>
      <c r="D68" s="31" t="s">
        <v>303</v>
      </c>
      <c r="E68" s="58">
        <v>4</v>
      </c>
      <c r="F68" s="58">
        <v>10</v>
      </c>
      <c r="G68" s="58">
        <v>1</v>
      </c>
      <c r="H68" s="58">
        <v>1</v>
      </c>
      <c r="I68" s="58">
        <v>1</v>
      </c>
      <c r="J68" s="58">
        <f>SUM(EVProj5[[#This Row],[★ Hard Case Voting Machines]:[★ Curbside (Rollie) Voting Machines]])</f>
        <v>13</v>
      </c>
      <c r="K68" s="58">
        <v>1</v>
      </c>
      <c r="L68" s="58">
        <v>5</v>
      </c>
      <c r="M68" s="58">
        <v>5</v>
      </c>
      <c r="N68" s="58">
        <v>1</v>
      </c>
      <c r="O68" s="58">
        <v>1</v>
      </c>
      <c r="P68" s="58">
        <v>12</v>
      </c>
      <c r="Q68" s="58">
        <v>11</v>
      </c>
      <c r="R68" s="59">
        <v>9500</v>
      </c>
      <c r="S68" s="58">
        <v>38</v>
      </c>
      <c r="T68" s="59">
        <f>IF(EVProj5[[#This Row],[★ Ballot Cards]]&gt;10000,10000,EVProj5[[#This Row],[★ Ballot Cards]])</f>
        <v>9500</v>
      </c>
      <c r="U68" s="58">
        <f>EVProj5[[#This Row],[Ballot Cards (max 10k)]]/250</f>
        <v>38</v>
      </c>
      <c r="V68" s="58">
        <f>EVProj5[[#This Row],[★ E-Pollbooks]]+EVProj5[[#This Row],[★ Soft Case (ADA) Voting Machines]]</f>
        <v>5</v>
      </c>
      <c r="W68" s="58">
        <f>EVProj5[[#This Row],[Tables Needed]]</f>
        <v>5</v>
      </c>
      <c r="X68" s="58">
        <v>2</v>
      </c>
      <c r="Y68" s="58">
        <v>2</v>
      </c>
      <c r="Z68" s="58">
        <f>IF(EVProj5[[#This Row],[Tables Needed]]-EVProj5[[#This Row],[Tables Provided by the Vote Center]]&lt;0,0,EVProj5[[#This Row],[Tables Needed]]-EVProj5[[#This Row],[Tables Provided by the Vote Center]])</f>
        <v>3</v>
      </c>
      <c r="AA68" s="58">
        <f>IF(EVProj5[[#This Row],[Chairs Needed]]-EVProj5[[#This Row],[Chairs Provided by the Vote Center]]&lt;0,0,EVProj5[[#This Row],[Chairs Needed]]-EVProj5[[#This Row],[Chairs Provided by the Vote Center]])</f>
        <v>3</v>
      </c>
    </row>
    <row r="69" spans="1:27">
      <c r="A69" s="58" t="s">
        <v>113</v>
      </c>
      <c r="B69" s="58" t="s">
        <v>304</v>
      </c>
      <c r="C69" s="30" t="s">
        <v>305</v>
      </c>
      <c r="D69" s="31" t="s">
        <v>306</v>
      </c>
      <c r="E69" s="58">
        <v>10</v>
      </c>
      <c r="F69" s="58">
        <v>22</v>
      </c>
      <c r="G69" s="58">
        <v>1</v>
      </c>
      <c r="H69" s="58">
        <v>2</v>
      </c>
      <c r="I69" s="58">
        <v>1</v>
      </c>
      <c r="J69" s="58">
        <f>SUM(EVProj5[[#This Row],[★ Hard Case Voting Machines]:[★ Curbside (Rollie) Voting Machines]])</f>
        <v>26</v>
      </c>
      <c r="K69" s="58">
        <v>1</v>
      </c>
      <c r="L69" s="58">
        <v>12</v>
      </c>
      <c r="M69" s="58">
        <v>13</v>
      </c>
      <c r="N69" s="58">
        <v>1</v>
      </c>
      <c r="O69" s="58">
        <v>1</v>
      </c>
      <c r="P69" s="58">
        <v>27</v>
      </c>
      <c r="Q69" s="58">
        <v>17</v>
      </c>
      <c r="R69" s="59">
        <v>38500</v>
      </c>
      <c r="S69" s="58">
        <v>154</v>
      </c>
      <c r="T69" s="59">
        <f>IF(EVProj5[[#This Row],[★ Ballot Cards]]&gt;10000,10000,EVProj5[[#This Row],[★ Ballot Cards]])</f>
        <v>10000</v>
      </c>
      <c r="U69" s="58">
        <f>EVProj5[[#This Row],[Ballot Cards (max 10k)]]/250</f>
        <v>40</v>
      </c>
      <c r="V69" s="58">
        <f>EVProj5[[#This Row],[★ E-Pollbooks]]+EVProj5[[#This Row],[★ Soft Case (ADA) Voting Machines]]</f>
        <v>11</v>
      </c>
      <c r="W69" s="58">
        <f>EVProj5[[#This Row],[Tables Needed]]</f>
        <v>11</v>
      </c>
      <c r="X69" s="58">
        <v>10</v>
      </c>
      <c r="Y69" s="58">
        <v>10</v>
      </c>
      <c r="Z69" s="58">
        <f>IF(EVProj5[[#This Row],[Tables Needed]]-EVProj5[[#This Row],[Tables Provided by the Vote Center]]&lt;0,0,EVProj5[[#This Row],[Tables Needed]]-EVProj5[[#This Row],[Tables Provided by the Vote Center]])</f>
        <v>1</v>
      </c>
      <c r="AA69" s="58">
        <f>IF(EVProj5[[#This Row],[Chairs Needed]]-EVProj5[[#This Row],[Chairs Provided by the Vote Center]]&lt;0,0,EVProj5[[#This Row],[Chairs Needed]]-EVProj5[[#This Row],[Chairs Provided by the Vote Center]])</f>
        <v>1</v>
      </c>
    </row>
    <row r="70" spans="1:27">
      <c r="A70" s="58" t="s">
        <v>113</v>
      </c>
      <c r="B70" s="58" t="s">
        <v>307</v>
      </c>
      <c r="C70" s="30" t="s">
        <v>49</v>
      </c>
      <c r="D70" s="31" t="s">
        <v>50</v>
      </c>
      <c r="E70" s="58">
        <v>6</v>
      </c>
      <c r="F70" s="58">
        <v>15</v>
      </c>
      <c r="G70" s="58">
        <v>1</v>
      </c>
      <c r="H70" s="58">
        <v>2</v>
      </c>
      <c r="I70" s="58">
        <v>1</v>
      </c>
      <c r="J70" s="58">
        <f>SUM(EVProj5[[#This Row],[★ Hard Case Voting Machines]:[★ Curbside (Rollie) Voting Machines]])</f>
        <v>19</v>
      </c>
      <c r="K70" s="58">
        <v>1</v>
      </c>
      <c r="L70" s="58">
        <v>5</v>
      </c>
      <c r="M70" s="58">
        <v>5</v>
      </c>
      <c r="N70" s="58">
        <v>1</v>
      </c>
      <c r="O70" s="58">
        <v>1</v>
      </c>
      <c r="P70" s="58">
        <v>12</v>
      </c>
      <c r="Q70" s="58">
        <v>13</v>
      </c>
      <c r="R70" s="59">
        <v>26250</v>
      </c>
      <c r="S70" s="58">
        <v>105</v>
      </c>
      <c r="T70" s="59">
        <f>IF(EVProj5[[#This Row],[★ Ballot Cards]]&gt;10000,10000,EVProj5[[#This Row],[★ Ballot Cards]])</f>
        <v>10000</v>
      </c>
      <c r="U70" s="58">
        <f>EVProj5[[#This Row],[Ballot Cards (max 10k)]]/250</f>
        <v>40</v>
      </c>
      <c r="V70" s="58">
        <f>EVProj5[[#This Row],[★ E-Pollbooks]]+EVProj5[[#This Row],[★ Soft Case (ADA) Voting Machines]]</f>
        <v>7</v>
      </c>
      <c r="W70" s="58">
        <f>EVProj5[[#This Row],[Tables Needed]]</f>
        <v>7</v>
      </c>
      <c r="X70" s="58">
        <v>10</v>
      </c>
      <c r="Y70" s="58">
        <v>15</v>
      </c>
      <c r="Z70" s="58">
        <f>IF(EVProj5[[#This Row],[Tables Needed]]-EVProj5[[#This Row],[Tables Provided by the Vote Center]]&lt;0,0,EVProj5[[#This Row],[Tables Needed]]-EVProj5[[#This Row],[Tables Provided by the Vote Center]])</f>
        <v>0</v>
      </c>
      <c r="AA70" s="58">
        <f>IF(EVProj5[[#This Row],[Chairs Needed]]-EVProj5[[#This Row],[Chairs Provided by the Vote Center]]&lt;0,0,EVProj5[[#This Row],[Chairs Needed]]-EVProj5[[#This Row],[Chairs Provided by the Vote Center]])</f>
        <v>0</v>
      </c>
    </row>
    <row r="71" spans="1:27">
      <c r="A71" s="58" t="s">
        <v>113</v>
      </c>
      <c r="B71" s="58" t="s">
        <v>308</v>
      </c>
      <c r="C71" s="30" t="s">
        <v>309</v>
      </c>
      <c r="D71" s="31" t="s">
        <v>310</v>
      </c>
      <c r="E71" s="58">
        <v>4</v>
      </c>
      <c r="F71" s="58">
        <v>11</v>
      </c>
      <c r="G71" s="58">
        <v>1</v>
      </c>
      <c r="H71" s="58">
        <v>1</v>
      </c>
      <c r="I71" s="58">
        <v>1</v>
      </c>
      <c r="J71" s="58">
        <f>SUM(EVProj5[[#This Row],[★ Hard Case Voting Machines]:[★ Curbside (Rollie) Voting Machines]])</f>
        <v>14</v>
      </c>
      <c r="K71" s="58">
        <v>1</v>
      </c>
      <c r="L71" s="58">
        <v>5</v>
      </c>
      <c r="M71" s="58">
        <v>6</v>
      </c>
      <c r="N71" s="58">
        <v>1</v>
      </c>
      <c r="O71" s="58">
        <v>1</v>
      </c>
      <c r="P71" s="58">
        <v>13</v>
      </c>
      <c r="Q71" s="58">
        <v>13</v>
      </c>
      <c r="R71" s="59">
        <v>8000</v>
      </c>
      <c r="S71" s="58">
        <v>32</v>
      </c>
      <c r="T71" s="59">
        <f>IF(EVProj5[[#This Row],[★ Ballot Cards]]&gt;10000,10000,EVProj5[[#This Row],[★ Ballot Cards]])</f>
        <v>8000</v>
      </c>
      <c r="U71" s="58">
        <f>EVProj5[[#This Row],[Ballot Cards (max 10k)]]/250</f>
        <v>32</v>
      </c>
      <c r="V71" s="58">
        <f>EVProj5[[#This Row],[★ E-Pollbooks]]+EVProj5[[#This Row],[★ Soft Case (ADA) Voting Machines]]</f>
        <v>5</v>
      </c>
      <c r="W71" s="58">
        <f>EVProj5[[#This Row],[Tables Needed]]</f>
        <v>5</v>
      </c>
      <c r="X71" s="58">
        <v>20</v>
      </c>
      <c r="Y71" s="58">
        <v>20</v>
      </c>
      <c r="Z71" s="58">
        <f>IF(EVProj5[[#This Row],[Tables Needed]]-EVProj5[[#This Row],[Tables Provided by the Vote Center]]&lt;0,0,EVProj5[[#This Row],[Tables Needed]]-EVProj5[[#This Row],[Tables Provided by the Vote Center]])</f>
        <v>0</v>
      </c>
      <c r="AA71" s="58">
        <f>IF(EVProj5[[#This Row],[Chairs Needed]]-EVProj5[[#This Row],[Chairs Provided by the Vote Center]]&lt;0,0,EVProj5[[#This Row],[Chairs Needed]]-EVProj5[[#This Row],[Chairs Provided by the Vote Center]])</f>
        <v>0</v>
      </c>
    </row>
    <row r="72" spans="1:27">
      <c r="A72" s="58" t="s">
        <v>113</v>
      </c>
      <c r="B72" s="58" t="s">
        <v>311</v>
      </c>
      <c r="C72" s="30" t="s">
        <v>312</v>
      </c>
      <c r="D72" s="31" t="s">
        <v>313</v>
      </c>
      <c r="E72" s="58">
        <v>5</v>
      </c>
      <c r="F72" s="58">
        <v>11</v>
      </c>
      <c r="G72" s="58">
        <v>1</v>
      </c>
      <c r="H72" s="58">
        <v>1</v>
      </c>
      <c r="I72" s="58">
        <v>1</v>
      </c>
      <c r="J72" s="58">
        <f>SUM(EVProj5[[#This Row],[★ Hard Case Voting Machines]:[★ Curbside (Rollie) Voting Machines]])</f>
        <v>14</v>
      </c>
      <c r="K72" s="58">
        <v>1</v>
      </c>
      <c r="L72" s="58">
        <v>6</v>
      </c>
      <c r="M72" s="58">
        <v>6</v>
      </c>
      <c r="N72" s="58">
        <v>1</v>
      </c>
      <c r="O72" s="58">
        <v>1</v>
      </c>
      <c r="P72" s="58">
        <v>14</v>
      </c>
      <c r="Q72" s="58">
        <v>12</v>
      </c>
      <c r="R72" s="59">
        <v>9250</v>
      </c>
      <c r="S72" s="58">
        <v>37</v>
      </c>
      <c r="T72" s="59">
        <f>IF(EVProj5[[#This Row],[★ Ballot Cards]]&gt;10000,10000,EVProj5[[#This Row],[★ Ballot Cards]])</f>
        <v>9250</v>
      </c>
      <c r="U72" s="58">
        <f>EVProj5[[#This Row],[Ballot Cards (max 10k)]]/250</f>
        <v>37</v>
      </c>
      <c r="V72" s="58">
        <f>EVProj5[[#This Row],[★ E-Pollbooks]]+EVProj5[[#This Row],[★ Soft Case (ADA) Voting Machines]]</f>
        <v>6</v>
      </c>
      <c r="W72" s="58">
        <f>EVProj5[[#This Row],[Tables Needed]]</f>
        <v>6</v>
      </c>
      <c r="X72" s="58">
        <v>0</v>
      </c>
      <c r="Y72" s="58">
        <v>0</v>
      </c>
      <c r="Z72" s="58">
        <f>IF(EVProj5[[#This Row],[Tables Needed]]-EVProj5[[#This Row],[Tables Provided by the Vote Center]]&lt;0,0,EVProj5[[#This Row],[Tables Needed]]-EVProj5[[#This Row],[Tables Provided by the Vote Center]])</f>
        <v>6</v>
      </c>
      <c r="AA72" s="58">
        <f>IF(EVProj5[[#This Row],[Chairs Needed]]-EVProj5[[#This Row],[Chairs Provided by the Vote Center]]&lt;0,0,EVProj5[[#This Row],[Chairs Needed]]-EVProj5[[#This Row],[Chairs Provided by the Vote Center]])</f>
        <v>6</v>
      </c>
    </row>
    <row r="73" spans="1:27">
      <c r="A73" s="58" t="s">
        <v>113</v>
      </c>
      <c r="B73" s="58" t="s">
        <v>314</v>
      </c>
      <c r="C73" s="30" t="s">
        <v>315</v>
      </c>
      <c r="D73" s="31" t="s">
        <v>316</v>
      </c>
      <c r="E73" s="58">
        <v>4</v>
      </c>
      <c r="F73" s="58">
        <v>8</v>
      </c>
      <c r="G73" s="58">
        <v>1</v>
      </c>
      <c r="H73" s="58">
        <v>1</v>
      </c>
      <c r="I73" s="58">
        <v>1</v>
      </c>
      <c r="J73" s="58">
        <f>SUM(EVProj5[[#This Row],[★ Hard Case Voting Machines]:[★ Curbside (Rollie) Voting Machines]])</f>
        <v>11</v>
      </c>
      <c r="K73" s="58">
        <v>1</v>
      </c>
      <c r="L73" s="58">
        <v>3</v>
      </c>
      <c r="M73" s="58">
        <v>4</v>
      </c>
      <c r="N73" s="58">
        <v>1</v>
      </c>
      <c r="O73" s="58">
        <v>1</v>
      </c>
      <c r="P73" s="58">
        <v>9</v>
      </c>
      <c r="Q73" s="58">
        <v>10</v>
      </c>
      <c r="R73" s="59">
        <v>1750</v>
      </c>
      <c r="S73" s="58">
        <v>7</v>
      </c>
      <c r="T73" s="59">
        <f>IF(EVProj5[[#This Row],[★ Ballot Cards]]&gt;10000,10000,EVProj5[[#This Row],[★ Ballot Cards]])</f>
        <v>1750</v>
      </c>
      <c r="U73" s="58">
        <f>EVProj5[[#This Row],[Ballot Cards (max 10k)]]/250</f>
        <v>7</v>
      </c>
      <c r="V73" s="58">
        <f>EVProj5[[#This Row],[★ E-Pollbooks]]+EVProj5[[#This Row],[★ Soft Case (ADA) Voting Machines]]</f>
        <v>5</v>
      </c>
      <c r="W73" s="58">
        <f>EVProj5[[#This Row],[Tables Needed]]</f>
        <v>5</v>
      </c>
      <c r="X73" s="58">
        <v>0</v>
      </c>
      <c r="Y73" s="58">
        <v>25</v>
      </c>
      <c r="Z73" s="58">
        <f>IF(EVProj5[[#This Row],[Tables Needed]]-EVProj5[[#This Row],[Tables Provided by the Vote Center]]&lt;0,0,EVProj5[[#This Row],[Tables Needed]]-EVProj5[[#This Row],[Tables Provided by the Vote Center]])</f>
        <v>5</v>
      </c>
      <c r="AA73" s="58">
        <f>IF(EVProj5[[#This Row],[Chairs Needed]]-EVProj5[[#This Row],[Chairs Provided by the Vote Center]]&lt;0,0,EVProj5[[#This Row],[Chairs Needed]]-EVProj5[[#This Row],[Chairs Provided by the Vote Center]])</f>
        <v>0</v>
      </c>
    </row>
  </sheetData>
  <sheetProtection algorithmName="SHA-512" hashValue="VbCaz4oKSJ3sF77haDtLLx0xAc1sBFvZgPpzGn8cbOSiNPus5qssKM+GXeex3rWA1nfejI8anw7lpiw8pucPJg==" saltValue="sENbNbIfikjnmmehlQhm0w==" spinCount="100000" sheet="1" objects="1" scenarios="1" autoFilter="0"/>
  <phoneticPr fontId="12" type="noConversion"/>
  <conditionalFormatting sqref="F4:F73">
    <cfRule type="cellIs" dxfId="93" priority="3" operator="lessThan">
      <formula>#REF!</formula>
    </cfRule>
  </conditionalFormatting>
  <conditionalFormatting sqref="E3:E73">
    <cfRule type="cellIs" dxfId="92" priority="2" operator="lessThan">
      <formula>#REF!</formula>
    </cfRule>
  </conditionalFormatting>
  <conditionalFormatting sqref="F3">
    <cfRule type="cellIs" dxfId="91" priority="1" operator="lessThan">
      <formula>#REF!</formula>
    </cfRule>
  </conditionalFormatting>
  <conditionalFormatting sqref="C3:C73">
    <cfRule type="duplicateValues" dxfId="90" priority="56"/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1A577-D093-4B13-81F4-FB2796707FE3}">
  <sheetPr codeName="Sheet3">
    <pageSetUpPr fitToPage="1"/>
  </sheetPr>
  <dimension ref="A1:Z457"/>
  <sheetViews>
    <sheetView tabSelected="1" zoomScale="107" workbookViewId="0">
      <pane xSplit="5" ySplit="2" topLeftCell="F3" activePane="bottomRight" state="frozen"/>
      <selection pane="bottomRight" activeCell="E3" sqref="E3"/>
      <selection pane="bottomLeft" activeCell="A3" sqref="A3"/>
      <selection pane="topRight" activeCell="D1" sqref="D1"/>
    </sheetView>
  </sheetViews>
  <sheetFormatPr defaultColWidth="10" defaultRowHeight="12.75" customHeight="1"/>
  <cols>
    <col min="1" max="1" width="10.42578125" style="29" bestFit="1" customWidth="1"/>
    <col min="2" max="2" width="9.28515625" style="29" bestFit="1" customWidth="1"/>
    <col min="3" max="3" width="34.5703125" style="29" bestFit="1" customWidth="1"/>
    <col min="4" max="4" width="10.7109375" style="29" bestFit="1" customWidth="1"/>
    <col min="5" max="5" width="31.85546875" style="29" bestFit="1" customWidth="1"/>
    <col min="6" max="6" width="19.7109375" style="29" bestFit="1" customWidth="1"/>
    <col min="7" max="7" width="17.85546875" style="29" bestFit="1" customWidth="1"/>
    <col min="8" max="8" width="20.85546875" style="29" bestFit="1" customWidth="1"/>
    <col min="9" max="9" width="20" style="29" bestFit="1" customWidth="1"/>
    <col min="10" max="10" width="20.28515625" style="29" bestFit="1" customWidth="1"/>
    <col min="11" max="12" width="20.140625" style="29" bestFit="1" customWidth="1"/>
    <col min="13" max="13" width="20.42578125" style="29" bestFit="1" customWidth="1"/>
    <col min="14" max="14" width="16.85546875" style="29" bestFit="1" customWidth="1"/>
    <col min="15" max="15" width="10.140625" style="29" bestFit="1" customWidth="1"/>
    <col min="16" max="16" width="12.42578125" style="29" bestFit="1" customWidth="1"/>
    <col min="17" max="17" width="9.85546875" style="29" bestFit="1" customWidth="1"/>
    <col min="18" max="18" width="21.85546875" style="29" bestFit="1" customWidth="1"/>
    <col min="19" max="19" width="14.5703125" style="29" bestFit="1" customWidth="1"/>
    <col min="20" max="20" width="18" style="29" bestFit="1" customWidth="1"/>
    <col min="21" max="21" width="14.85546875" style="29" bestFit="1" customWidth="1"/>
    <col min="22" max="22" width="14.5703125" style="29" bestFit="1" customWidth="1"/>
    <col min="23" max="24" width="19.42578125" style="29" bestFit="1" customWidth="1"/>
    <col min="25" max="25" width="21.7109375" style="29" bestFit="1" customWidth="1"/>
    <col min="26" max="26" width="21.5703125" style="29" bestFit="1" customWidth="1"/>
    <col min="27" max="16384" width="10" style="29"/>
  </cols>
  <sheetData>
    <row r="1" spans="1:26" s="12" customFormat="1" ht="13.9">
      <c r="A1" s="12" t="str">
        <f>COUNTIF(EDProj[Flip Site?],"Y")&amp;" sites"</f>
        <v>70 sites</v>
      </c>
      <c r="B1" s="12" t="s">
        <v>317</v>
      </c>
      <c r="D1" s="12" t="str">
        <f>COUNTA(EDProj[Poll Code])&amp;" sites"</f>
        <v>455 sites</v>
      </c>
      <c r="G1" s="13">
        <f>SUM(EDProj[Old EPB Allocation])</f>
        <v>1884.1666666666665</v>
      </c>
      <c r="H1" s="13">
        <f>SUM(EDProj[★ New EPB Allocation])</f>
        <v>2000</v>
      </c>
      <c r="I1" s="13">
        <f>SUM(EDProj[★ Hard Case Voting Machines])</f>
        <v>3168</v>
      </c>
      <c r="J1" s="13">
        <f>SUM(EDProj[★ Soft Case (ADA) Voting Machines])</f>
        <v>459</v>
      </c>
      <c r="K1" s="13">
        <f>SUM(EDProj[★ Curbside (Cart) Voting Machine])</f>
        <v>99</v>
      </c>
      <c r="L1" s="13">
        <f>SUM(EDProj[★ Curbside (Rollie) Voting Machine])</f>
        <v>78</v>
      </c>
      <c r="M1" s="13">
        <f>SUM(EDProj[Voting Machines (All Types)])</f>
        <v>3804</v>
      </c>
      <c r="N1" s="13">
        <f>SUM(EDProj[★ Vote Tabulator])</f>
        <v>455</v>
      </c>
      <c r="O1" s="13">
        <f>SUM(EDProj[★ Clerks])</f>
        <v>2687</v>
      </c>
      <c r="P1" s="13">
        <f>SUM(EDProj[★ Alt Judge])</f>
        <v>455</v>
      </c>
      <c r="Q1" s="13">
        <f>SUM(EDProj[★ Judge])</f>
        <v>455</v>
      </c>
      <c r="R1" s="13">
        <f>SUM(EDProj[Total '# of Workers (incld. Judge(s), Alt Judge, and Clerks)])</f>
        <v>3597</v>
      </c>
      <c r="S1" s="13">
        <f>SUM(EDProj[★ Ballot Cards])</f>
        <v>451750</v>
      </c>
      <c r="T1" s="13">
        <f>SUM(EDProj[★ Ballot Card Pads])</f>
        <v>1807</v>
      </c>
      <c r="U1" s="13">
        <f>SUM(EDProj[Tables Needed])</f>
        <v>2343.1666666666665</v>
      </c>
      <c r="V1" s="13">
        <f>SUM(EDProj[Chairs Needed])</f>
        <v>2343.1666666666665</v>
      </c>
      <c r="W1" s="13">
        <f>SUM(EDProj[Tables Provided by the Vote Center])</f>
        <v>1722</v>
      </c>
      <c r="X1" s="13">
        <f>SUM(EDProj[Chairs Provided by the Vote Center])</f>
        <v>6222</v>
      </c>
      <c r="Y1" s="13">
        <f>SUM(EDProj[★ Tables to be Deployed by DCED])</f>
        <v>1539</v>
      </c>
      <c r="Z1" s="13">
        <f>SUM(EDProj[★ Chairs to be Deployed by DCED])</f>
        <v>1389</v>
      </c>
    </row>
    <row r="2" spans="1:26" s="14" customFormat="1" ht="27.6">
      <c r="A2" s="14" t="s">
        <v>88</v>
      </c>
      <c r="B2" s="14" t="s">
        <v>318</v>
      </c>
      <c r="C2" s="14" t="s">
        <v>319</v>
      </c>
      <c r="D2" s="15" t="s">
        <v>2</v>
      </c>
      <c r="E2" s="14" t="s">
        <v>3</v>
      </c>
      <c r="F2" s="14" t="s">
        <v>320</v>
      </c>
      <c r="G2" s="91" t="s">
        <v>321</v>
      </c>
      <c r="H2" s="16" t="s">
        <v>322</v>
      </c>
      <c r="I2" s="17" t="s">
        <v>91</v>
      </c>
      <c r="J2" s="17" t="s">
        <v>92</v>
      </c>
      <c r="K2" s="17" t="s">
        <v>323</v>
      </c>
      <c r="L2" s="17" t="s">
        <v>324</v>
      </c>
      <c r="M2" s="17" t="s">
        <v>95</v>
      </c>
      <c r="N2" s="18" t="s">
        <v>96</v>
      </c>
      <c r="O2" s="19" t="s">
        <v>325</v>
      </c>
      <c r="P2" s="19" t="s">
        <v>326</v>
      </c>
      <c r="Q2" s="19" t="s">
        <v>327</v>
      </c>
      <c r="R2" s="47" t="s">
        <v>328</v>
      </c>
      <c r="S2" s="20" t="s">
        <v>103</v>
      </c>
      <c r="T2" s="20" t="s">
        <v>104</v>
      </c>
      <c r="U2" s="21" t="s">
        <v>107</v>
      </c>
      <c r="V2" s="21" t="s">
        <v>108</v>
      </c>
      <c r="W2" s="21" t="s">
        <v>109</v>
      </c>
      <c r="X2" s="21" t="s">
        <v>110</v>
      </c>
      <c r="Y2" s="22" t="s">
        <v>111</v>
      </c>
      <c r="Z2" s="22" t="s">
        <v>112</v>
      </c>
    </row>
    <row r="3" spans="1:26" ht="13.9">
      <c r="A3" s="23" t="s">
        <v>294</v>
      </c>
      <c r="B3" s="24" t="s">
        <v>295</v>
      </c>
      <c r="C3" s="73" t="s">
        <v>329</v>
      </c>
      <c r="D3" s="25" t="s">
        <v>330</v>
      </c>
      <c r="E3" s="26" t="s">
        <v>331</v>
      </c>
      <c r="F3" s="92">
        <v>498</v>
      </c>
      <c r="G3" s="27">
        <v>4</v>
      </c>
      <c r="H3" s="27">
        <v>4</v>
      </c>
      <c r="I3" s="27">
        <v>11</v>
      </c>
      <c r="J3" s="27">
        <v>1</v>
      </c>
      <c r="K3" s="27">
        <v>0</v>
      </c>
      <c r="L3" s="83">
        <v>0</v>
      </c>
      <c r="M3" s="23">
        <f>SUM(EDProj[[#This Row],[★ Hard Case Voting Machines]:[★ Curbside (Rollie) Voting Machine]])</f>
        <v>12</v>
      </c>
      <c r="N3" s="23">
        <v>1</v>
      </c>
      <c r="O3" s="27">
        <v>6</v>
      </c>
      <c r="P3" s="27">
        <v>1</v>
      </c>
      <c r="Q3" s="23">
        <v>1</v>
      </c>
      <c r="R3" s="27">
        <f>EDProj[[#This Row],[★ Judge]]+EDProj[[#This Row],[★ Alt Judge]]+EDProj[[#This Row],[★ Clerks]]</f>
        <v>8</v>
      </c>
      <c r="S3" s="28">
        <v>1000</v>
      </c>
      <c r="T3" s="23">
        <f>EDProj[[#This Row],[★ Ballot Cards]]/250</f>
        <v>4</v>
      </c>
      <c r="U3" s="38">
        <f>EDProj[[#This Row],[★ Soft Case (ADA) Voting Machines]]+EDProj[[#This Row],[Old EPB Allocation]]</f>
        <v>5</v>
      </c>
      <c r="V3" s="38">
        <f>EDProj[[#This Row],[Tables Needed]]</f>
        <v>5</v>
      </c>
      <c r="W3" s="27">
        <v>5</v>
      </c>
      <c r="X3" s="27">
        <v>10</v>
      </c>
      <c r="Y3" s="23">
        <f>ROUNDUP(IF(EDProj[[#This Row],[Tables Needed]]-EDProj[[#This Row],[Tables Provided by the Vote Center]]&lt;0,0,EDProj[[#This Row],[Tables Needed]]-EDProj[[#This Row],[Tables Provided by the Vote Center]]),0)</f>
        <v>0</v>
      </c>
      <c r="Z3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4" spans="1:26" ht="13.9">
      <c r="A4" s="23" t="s">
        <v>294</v>
      </c>
      <c r="B4" s="24" t="s">
        <v>295</v>
      </c>
      <c r="C4" s="73" t="s">
        <v>329</v>
      </c>
      <c r="D4" s="25" t="s">
        <v>332</v>
      </c>
      <c r="E4" s="26" t="s">
        <v>333</v>
      </c>
      <c r="F4" s="92">
        <v>308</v>
      </c>
      <c r="G4" s="27">
        <v>4</v>
      </c>
      <c r="H4" s="27">
        <v>4</v>
      </c>
      <c r="I4" s="27">
        <v>5</v>
      </c>
      <c r="J4" s="27">
        <v>1</v>
      </c>
      <c r="K4" s="27">
        <v>0</v>
      </c>
      <c r="L4" s="27">
        <v>0</v>
      </c>
      <c r="M4" s="23">
        <f>SUM(EDProj[[#This Row],[★ Hard Case Voting Machines]:[★ Curbside (Rollie) Voting Machine]])</f>
        <v>6</v>
      </c>
      <c r="N4" s="23">
        <v>1</v>
      </c>
      <c r="O4" s="27">
        <v>5</v>
      </c>
      <c r="P4" s="27">
        <v>1</v>
      </c>
      <c r="Q4" s="23">
        <v>1</v>
      </c>
      <c r="R4" s="27">
        <f>EDProj[[#This Row],[★ Judge]]+EDProj[[#This Row],[★ Alt Judge]]+EDProj[[#This Row],[★ Clerks]]</f>
        <v>7</v>
      </c>
      <c r="S4" s="28">
        <v>500</v>
      </c>
      <c r="T4" s="23">
        <f>EDProj[[#This Row],[★ Ballot Cards]]/250</f>
        <v>2</v>
      </c>
      <c r="U4" s="38">
        <f>EDProj[[#This Row],[★ Soft Case (ADA) Voting Machines]]+EDProj[[#This Row],[Old EPB Allocation]]</f>
        <v>5</v>
      </c>
      <c r="V4" s="38">
        <f>EDProj[[#This Row],[Tables Needed]]</f>
        <v>5</v>
      </c>
      <c r="W4" s="27">
        <v>5</v>
      </c>
      <c r="X4" s="27">
        <v>10</v>
      </c>
      <c r="Y4" s="23">
        <f>ROUNDUP(IF(EDProj[[#This Row],[Tables Needed]]-EDProj[[#This Row],[Tables Provided by the Vote Center]]&lt;0,0,EDProj[[#This Row],[Tables Needed]]-EDProj[[#This Row],[Tables Provided by the Vote Center]]),0)</f>
        <v>0</v>
      </c>
      <c r="Z4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5" spans="1:26" ht="13.9">
      <c r="A5" s="23" t="s">
        <v>113</v>
      </c>
      <c r="B5" s="24" t="s">
        <v>118</v>
      </c>
      <c r="C5" s="73" t="s">
        <v>329</v>
      </c>
      <c r="D5" s="30" t="s">
        <v>117</v>
      </c>
      <c r="E5" s="31" t="s">
        <v>119</v>
      </c>
      <c r="F5" s="93">
        <v>1889</v>
      </c>
      <c r="G5" s="27">
        <v>4</v>
      </c>
      <c r="H5" s="27">
        <v>6</v>
      </c>
      <c r="I5" s="27">
        <v>20</v>
      </c>
      <c r="J5" s="27">
        <v>1</v>
      </c>
      <c r="K5" s="27">
        <v>1</v>
      </c>
      <c r="L5" s="27">
        <v>1</v>
      </c>
      <c r="M5" s="23">
        <f>SUM(EDProj[[#This Row],[★ Hard Case Voting Machines]:[★ Curbside (Rollie) Voting Machine]])</f>
        <v>23</v>
      </c>
      <c r="N5" s="23">
        <v>1</v>
      </c>
      <c r="O5" s="27">
        <v>11</v>
      </c>
      <c r="P5" s="27">
        <v>1</v>
      </c>
      <c r="Q5" s="23">
        <v>1</v>
      </c>
      <c r="R5" s="27">
        <f>EDProj[[#This Row],[★ Judge]]+EDProj[[#This Row],[★ Alt Judge]]+EDProj[[#This Row],[★ Clerks]]</f>
        <v>13</v>
      </c>
      <c r="S5" s="28">
        <v>1750</v>
      </c>
      <c r="T5" s="23">
        <f>EDProj[[#This Row],[★ Ballot Cards]]/250</f>
        <v>7</v>
      </c>
      <c r="U5" s="38">
        <f>EDProj[[#This Row],[★ Soft Case (ADA) Voting Machines]]+EDProj[[#This Row],[Old EPB Allocation]]</f>
        <v>5</v>
      </c>
      <c r="V5" s="38">
        <f>EDProj[[#This Row],[Tables Needed]]</f>
        <v>5</v>
      </c>
      <c r="W5" s="27">
        <v>6</v>
      </c>
      <c r="X5" s="27">
        <v>6</v>
      </c>
      <c r="Y5" s="23">
        <f>ROUNDUP(IF(EDProj[[#This Row],[Tables Needed]]-EDProj[[#This Row],[Tables Provided by the Vote Center]]&lt;0,0,EDProj[[#This Row],[Tables Needed]]-EDProj[[#This Row],[Tables Provided by the Vote Center]]),0)</f>
        <v>0</v>
      </c>
      <c r="Z5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6" spans="1:26" ht="13.9">
      <c r="A6" s="23" t="s">
        <v>113</v>
      </c>
      <c r="B6" s="24" t="s">
        <v>226</v>
      </c>
      <c r="C6" s="73" t="s">
        <v>329</v>
      </c>
      <c r="D6" s="25" t="s">
        <v>225</v>
      </c>
      <c r="E6" s="26" t="s">
        <v>227</v>
      </c>
      <c r="F6" s="92">
        <v>1333</v>
      </c>
      <c r="G6" s="27">
        <v>4.1666666666666661</v>
      </c>
      <c r="H6" s="27">
        <v>5</v>
      </c>
      <c r="I6" s="27">
        <v>10</v>
      </c>
      <c r="J6" s="27">
        <v>1</v>
      </c>
      <c r="K6" s="27">
        <v>1</v>
      </c>
      <c r="L6" s="27">
        <v>1</v>
      </c>
      <c r="M6" s="23">
        <f>SUM(EDProj[[#This Row],[★ Hard Case Voting Machines]:[★ Curbside (Rollie) Voting Machine]])</f>
        <v>13</v>
      </c>
      <c r="N6" s="23">
        <v>1</v>
      </c>
      <c r="O6" s="27">
        <v>7</v>
      </c>
      <c r="P6" s="23">
        <v>1</v>
      </c>
      <c r="Q6" s="23">
        <v>1</v>
      </c>
      <c r="R6" s="27">
        <f>EDProj[[#This Row],[★ Judge]]+EDProj[[#This Row],[★ Alt Judge]]+EDProj[[#This Row],[★ Clerks]]</f>
        <v>9</v>
      </c>
      <c r="S6" s="28">
        <v>1250</v>
      </c>
      <c r="T6" s="23">
        <f>EDProj[[#This Row],[★ Ballot Cards]]/250</f>
        <v>5</v>
      </c>
      <c r="U6" s="38">
        <f>EDProj[[#This Row],[★ Soft Case (ADA) Voting Machines]]+EDProj[[#This Row],[Old EPB Allocation]]</f>
        <v>5.1666666666666661</v>
      </c>
      <c r="V6" s="38">
        <f>EDProj[[#This Row],[Tables Needed]]</f>
        <v>5.1666666666666661</v>
      </c>
      <c r="W6" s="27">
        <v>0</v>
      </c>
      <c r="X6" s="27">
        <v>0</v>
      </c>
      <c r="Y6" s="23">
        <f>ROUNDUP(IF(EDProj[[#This Row],[Tables Needed]]-EDProj[[#This Row],[Tables Provided by the Vote Center]]&lt;0,0,EDProj[[#This Row],[Tables Needed]]-EDProj[[#This Row],[Tables Provided by the Vote Center]]),0)</f>
        <v>6</v>
      </c>
      <c r="Z6" s="23">
        <f>ROUNDUP(IF(EDProj[[#This Row],[Chairs Needed]]-EDProj[[#This Row],[Chairs Provided by the Vote Center]]&lt;0,0,EDProj[[#This Row],[Chairs Needed]]-EDProj[[#This Row],[Chairs Provided by the Vote Center]]),0)</f>
        <v>6</v>
      </c>
    </row>
    <row r="7" spans="1:26" ht="13.9">
      <c r="A7" s="23" t="s">
        <v>294</v>
      </c>
      <c r="B7" s="24" t="s">
        <v>295</v>
      </c>
      <c r="C7" s="73" t="s">
        <v>329</v>
      </c>
      <c r="D7" s="36" t="s">
        <v>64</v>
      </c>
      <c r="E7" s="37" t="s">
        <v>65</v>
      </c>
      <c r="F7" s="94">
        <v>303</v>
      </c>
      <c r="G7" s="27">
        <v>4</v>
      </c>
      <c r="H7" s="27">
        <v>4</v>
      </c>
      <c r="I7" s="38">
        <v>5</v>
      </c>
      <c r="J7" s="38">
        <v>1</v>
      </c>
      <c r="K7" s="38">
        <v>0</v>
      </c>
      <c r="L7" s="27">
        <v>0</v>
      </c>
      <c r="M7" s="34">
        <f>SUM(EDProj[[#This Row],[★ Hard Case Voting Machines]:[★ Curbside (Rollie) Voting Machine]])</f>
        <v>6</v>
      </c>
      <c r="N7" s="34">
        <v>1</v>
      </c>
      <c r="O7" s="38">
        <v>6</v>
      </c>
      <c r="P7" s="34">
        <v>1</v>
      </c>
      <c r="Q7" s="23">
        <v>1</v>
      </c>
      <c r="R7" s="38">
        <f>EDProj[[#This Row],[★ Judge]]+EDProj[[#This Row],[★ Alt Judge]]+EDProj[[#This Row],[★ Clerks]]</f>
        <v>8</v>
      </c>
      <c r="S7" s="39">
        <v>500</v>
      </c>
      <c r="T7" s="34">
        <f>EDProj[[#This Row],[★ Ballot Cards]]/250</f>
        <v>2</v>
      </c>
      <c r="U7" s="38">
        <f>EDProj[[#This Row],[★ Soft Case (ADA) Voting Machines]]+EDProj[[#This Row],[Old EPB Allocation]]</f>
        <v>5</v>
      </c>
      <c r="V7" s="38">
        <f>EDProj[[#This Row],[Tables Needed]]</f>
        <v>5</v>
      </c>
      <c r="W7" s="27">
        <v>0</v>
      </c>
      <c r="X7" s="27">
        <v>0</v>
      </c>
      <c r="Y7" s="34">
        <f>ROUNDUP(IF(EDProj[[#This Row],[Tables Needed]]-EDProj[[#This Row],[Tables Provided by the Vote Center]]&lt;0,0,EDProj[[#This Row],[Tables Needed]]-EDProj[[#This Row],[Tables Provided by the Vote Center]]),0)</f>
        <v>5</v>
      </c>
      <c r="Z7" s="34">
        <f>ROUNDUP(IF(EDProj[[#This Row],[Chairs Needed]]-EDProj[[#This Row],[Chairs Provided by the Vote Center]]&lt;0,0,EDProj[[#This Row],[Chairs Needed]]-EDProj[[#This Row],[Chairs Provided by the Vote Center]]),0)</f>
        <v>5</v>
      </c>
    </row>
    <row r="8" spans="1:26" ht="13.9">
      <c r="A8" s="23" t="s">
        <v>294</v>
      </c>
      <c r="B8" s="24" t="s">
        <v>295</v>
      </c>
      <c r="C8" s="73" t="s">
        <v>329</v>
      </c>
      <c r="D8" s="25" t="s">
        <v>334</v>
      </c>
      <c r="E8" s="26" t="s">
        <v>335</v>
      </c>
      <c r="F8" s="92">
        <v>337</v>
      </c>
      <c r="G8" s="27">
        <v>4</v>
      </c>
      <c r="H8" s="27">
        <v>4</v>
      </c>
      <c r="I8" s="27">
        <v>4</v>
      </c>
      <c r="J8" s="27">
        <v>1</v>
      </c>
      <c r="K8" s="27">
        <v>0</v>
      </c>
      <c r="L8" s="27">
        <v>0</v>
      </c>
      <c r="M8" s="23">
        <f>SUM(EDProj[[#This Row],[★ Hard Case Voting Machines]:[★ Curbside (Rollie) Voting Machine]])</f>
        <v>5</v>
      </c>
      <c r="N8" s="23">
        <v>1</v>
      </c>
      <c r="O8" s="27">
        <v>5</v>
      </c>
      <c r="P8" s="27">
        <v>1</v>
      </c>
      <c r="Q8" s="23">
        <v>1</v>
      </c>
      <c r="R8" s="27">
        <f>EDProj[[#This Row],[★ Judge]]+EDProj[[#This Row],[★ Alt Judge]]+EDProj[[#This Row],[★ Clerks]]</f>
        <v>7</v>
      </c>
      <c r="S8" s="28">
        <v>750</v>
      </c>
      <c r="T8" s="23">
        <f>EDProj[[#This Row],[★ Ballot Cards]]/250</f>
        <v>3</v>
      </c>
      <c r="U8" s="38">
        <f>EDProj[[#This Row],[★ Soft Case (ADA) Voting Machines]]+EDProj[[#This Row],[Old EPB Allocation]]</f>
        <v>5</v>
      </c>
      <c r="V8" s="38">
        <f>EDProj[[#This Row],[Tables Needed]]</f>
        <v>5</v>
      </c>
      <c r="W8" s="27">
        <v>0</v>
      </c>
      <c r="X8" s="27">
        <v>0</v>
      </c>
      <c r="Y8" s="23">
        <f>ROUNDUP(IF(EDProj[[#This Row],[Tables Needed]]-EDProj[[#This Row],[Tables Provided by the Vote Center]]&lt;0,0,EDProj[[#This Row],[Tables Needed]]-EDProj[[#This Row],[Tables Provided by the Vote Center]]),0)</f>
        <v>5</v>
      </c>
      <c r="Z8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9" spans="1:26" ht="13.9">
      <c r="A9" s="23" t="s">
        <v>294</v>
      </c>
      <c r="B9" s="24" t="s">
        <v>295</v>
      </c>
      <c r="C9" s="73" t="s">
        <v>329</v>
      </c>
      <c r="D9" s="25" t="s">
        <v>336</v>
      </c>
      <c r="E9" s="26" t="s">
        <v>337</v>
      </c>
      <c r="F9" s="92">
        <v>488</v>
      </c>
      <c r="G9" s="27">
        <v>4</v>
      </c>
      <c r="H9" s="27">
        <v>4</v>
      </c>
      <c r="I9" s="27">
        <v>7</v>
      </c>
      <c r="J9" s="27">
        <v>1</v>
      </c>
      <c r="K9" s="27">
        <v>0</v>
      </c>
      <c r="L9" s="27">
        <v>0</v>
      </c>
      <c r="M9" s="23">
        <f>SUM(EDProj[[#This Row],[★ Hard Case Voting Machines]:[★ Curbside (Rollie) Voting Machine]])</f>
        <v>8</v>
      </c>
      <c r="N9" s="23">
        <v>1</v>
      </c>
      <c r="O9" s="27">
        <v>5</v>
      </c>
      <c r="P9" s="27">
        <v>1</v>
      </c>
      <c r="Q9" s="23">
        <v>1</v>
      </c>
      <c r="R9" s="27">
        <f>EDProj[[#This Row],[★ Judge]]+EDProj[[#This Row],[★ Alt Judge]]+EDProj[[#This Row],[★ Clerks]]</f>
        <v>7</v>
      </c>
      <c r="S9" s="28">
        <v>1000</v>
      </c>
      <c r="T9" s="23">
        <f>EDProj[[#This Row],[★ Ballot Cards]]/250</f>
        <v>4</v>
      </c>
      <c r="U9" s="38">
        <f>EDProj[[#This Row],[★ Soft Case (ADA) Voting Machines]]+EDProj[[#This Row],[Old EPB Allocation]]</f>
        <v>5</v>
      </c>
      <c r="V9" s="38">
        <f>EDProj[[#This Row],[Tables Needed]]</f>
        <v>5</v>
      </c>
      <c r="W9" s="27">
        <v>0</v>
      </c>
      <c r="X9" s="27">
        <v>0</v>
      </c>
      <c r="Y9" s="23">
        <f>ROUNDUP(IF(EDProj[[#This Row],[Tables Needed]]-EDProj[[#This Row],[Tables Provided by the Vote Center]]&lt;0,0,EDProj[[#This Row],[Tables Needed]]-EDProj[[#This Row],[Tables Provided by the Vote Center]]),0)</f>
        <v>5</v>
      </c>
      <c r="Z9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10" spans="1:26" ht="13.9">
      <c r="A10" s="23" t="s">
        <v>294</v>
      </c>
      <c r="B10" s="24" t="s">
        <v>295</v>
      </c>
      <c r="C10" s="73" t="s">
        <v>329</v>
      </c>
      <c r="D10" s="25" t="s">
        <v>338</v>
      </c>
      <c r="E10" s="26" t="s">
        <v>339</v>
      </c>
      <c r="F10" s="92">
        <v>818</v>
      </c>
      <c r="G10" s="27">
        <v>4</v>
      </c>
      <c r="H10" s="27">
        <v>4</v>
      </c>
      <c r="I10" s="27">
        <v>9</v>
      </c>
      <c r="J10" s="27">
        <v>1</v>
      </c>
      <c r="K10" s="27">
        <v>0</v>
      </c>
      <c r="L10" s="27">
        <v>0</v>
      </c>
      <c r="M10" s="23">
        <f>SUM(EDProj[[#This Row],[★ Hard Case Voting Machines]:[★ Curbside (Rollie) Voting Machine]])</f>
        <v>10</v>
      </c>
      <c r="N10" s="23">
        <v>1</v>
      </c>
      <c r="O10" s="27">
        <v>7</v>
      </c>
      <c r="P10" s="27">
        <v>1</v>
      </c>
      <c r="Q10" s="23">
        <v>1</v>
      </c>
      <c r="R10" s="27">
        <f>EDProj[[#This Row],[★ Judge]]+EDProj[[#This Row],[★ Alt Judge]]+EDProj[[#This Row],[★ Clerks]]</f>
        <v>9</v>
      </c>
      <c r="S10" s="28">
        <v>1500</v>
      </c>
      <c r="T10" s="23">
        <f>EDProj[[#This Row],[★ Ballot Cards]]/250</f>
        <v>6</v>
      </c>
      <c r="U10" s="38">
        <f>EDProj[[#This Row],[★ Soft Case (ADA) Voting Machines]]+EDProj[[#This Row],[Old EPB Allocation]]</f>
        <v>5</v>
      </c>
      <c r="V10" s="38">
        <f>EDProj[[#This Row],[Tables Needed]]</f>
        <v>5</v>
      </c>
      <c r="W10" s="27">
        <v>0</v>
      </c>
      <c r="X10" s="27">
        <v>0</v>
      </c>
      <c r="Y10" s="23">
        <f>ROUNDUP(IF(EDProj[[#This Row],[Tables Needed]]-EDProj[[#This Row],[Tables Provided by the Vote Center]]&lt;0,0,EDProj[[#This Row],[Tables Needed]]-EDProj[[#This Row],[Tables Provided by the Vote Center]]),0)</f>
        <v>5</v>
      </c>
      <c r="Z10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11" spans="1:26" ht="13.9">
      <c r="A11" s="23" t="s">
        <v>113</v>
      </c>
      <c r="B11" s="24" t="s">
        <v>232</v>
      </c>
      <c r="C11" s="73" t="s">
        <v>329</v>
      </c>
      <c r="D11" s="30" t="s">
        <v>231</v>
      </c>
      <c r="E11" s="31" t="s">
        <v>233</v>
      </c>
      <c r="F11" s="93">
        <v>2479</v>
      </c>
      <c r="G11" s="27">
        <v>6.166666666666667</v>
      </c>
      <c r="H11" s="27">
        <v>9</v>
      </c>
      <c r="I11" s="27">
        <v>22</v>
      </c>
      <c r="J11" s="27">
        <v>1</v>
      </c>
      <c r="K11" s="27">
        <v>2</v>
      </c>
      <c r="L11" s="27">
        <v>1</v>
      </c>
      <c r="M11" s="23">
        <f>SUM(EDProj[[#This Row],[★ Hard Case Voting Machines]:[★ Curbside (Rollie) Voting Machine]])</f>
        <v>26</v>
      </c>
      <c r="N11" s="23">
        <v>1</v>
      </c>
      <c r="O11" s="27">
        <v>15</v>
      </c>
      <c r="P11" s="27">
        <v>1</v>
      </c>
      <c r="Q11" s="23">
        <v>1</v>
      </c>
      <c r="R11" s="27">
        <f>EDProj[[#This Row],[★ Judge]]+EDProj[[#This Row],[★ Alt Judge]]+EDProj[[#This Row],[★ Clerks]]</f>
        <v>17</v>
      </c>
      <c r="S11" s="28">
        <v>4000</v>
      </c>
      <c r="T11" s="23">
        <f>EDProj[[#This Row],[★ Ballot Cards]]/250</f>
        <v>16</v>
      </c>
      <c r="U11" s="38">
        <f>EDProj[[#This Row],[★ Soft Case (ADA) Voting Machines]]+EDProj[[#This Row],[Old EPB Allocation]]</f>
        <v>7.166666666666667</v>
      </c>
      <c r="V11" s="38">
        <f>EDProj[[#This Row],[Tables Needed]]</f>
        <v>7.166666666666667</v>
      </c>
      <c r="W11" s="27">
        <v>8</v>
      </c>
      <c r="X11" s="27">
        <v>40</v>
      </c>
      <c r="Y11" s="23">
        <f>ROUNDUP(IF(EDProj[[#This Row],[Tables Needed]]-EDProj[[#This Row],[Tables Provided by the Vote Center]]&lt;0,0,EDProj[[#This Row],[Tables Needed]]-EDProj[[#This Row],[Tables Provided by the Vote Center]]),0)</f>
        <v>0</v>
      </c>
      <c r="Z11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12" spans="1:26" ht="13.9">
      <c r="A12" s="23" t="s">
        <v>294</v>
      </c>
      <c r="B12" s="24" t="s">
        <v>295</v>
      </c>
      <c r="C12" s="73" t="s">
        <v>329</v>
      </c>
      <c r="D12" s="25" t="s">
        <v>340</v>
      </c>
      <c r="E12" s="26" t="s">
        <v>341</v>
      </c>
      <c r="F12" s="92">
        <v>537</v>
      </c>
      <c r="G12" s="27">
        <v>4</v>
      </c>
      <c r="H12" s="27">
        <v>4</v>
      </c>
      <c r="I12" s="27">
        <v>6</v>
      </c>
      <c r="J12" s="27">
        <v>1</v>
      </c>
      <c r="K12" s="27">
        <v>0</v>
      </c>
      <c r="L12" s="27">
        <v>0</v>
      </c>
      <c r="M12" s="23">
        <f>SUM(EDProj[[#This Row],[★ Hard Case Voting Machines]:[★ Curbside (Rollie) Voting Machine]])</f>
        <v>7</v>
      </c>
      <c r="N12" s="23">
        <v>1</v>
      </c>
      <c r="O12" s="27">
        <v>6</v>
      </c>
      <c r="P12" s="27">
        <v>1</v>
      </c>
      <c r="Q12" s="23">
        <v>1</v>
      </c>
      <c r="R12" s="27">
        <f>EDProj[[#This Row],[★ Judge]]+EDProj[[#This Row],[★ Alt Judge]]+EDProj[[#This Row],[★ Clerks]]</f>
        <v>8</v>
      </c>
      <c r="S12" s="28">
        <v>1000</v>
      </c>
      <c r="T12" s="23">
        <f>EDProj[[#This Row],[★ Ballot Cards]]/250</f>
        <v>4</v>
      </c>
      <c r="U12" s="38">
        <f>EDProj[[#This Row],[★ Soft Case (ADA) Voting Machines]]+EDProj[[#This Row],[Old EPB Allocation]]</f>
        <v>5</v>
      </c>
      <c r="V12" s="38">
        <f>EDProj[[#This Row],[Tables Needed]]</f>
        <v>5</v>
      </c>
      <c r="W12" s="27">
        <v>0</v>
      </c>
      <c r="X12" s="27">
        <v>0</v>
      </c>
      <c r="Y12" s="23">
        <f>ROUNDUP(IF(EDProj[[#This Row],[Tables Needed]]-EDProj[[#This Row],[Tables Provided by the Vote Center]]&lt;0,0,EDProj[[#This Row],[Tables Needed]]-EDProj[[#This Row],[Tables Provided by the Vote Center]]),0)</f>
        <v>5</v>
      </c>
      <c r="Z12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13" spans="1:26" ht="13.9">
      <c r="A13" s="23" t="s">
        <v>294</v>
      </c>
      <c r="B13" s="24" t="s">
        <v>295</v>
      </c>
      <c r="C13" s="73" t="s">
        <v>329</v>
      </c>
      <c r="D13" s="25" t="s">
        <v>342</v>
      </c>
      <c r="E13" s="26" t="s">
        <v>343</v>
      </c>
      <c r="F13" s="92">
        <v>937</v>
      </c>
      <c r="G13" s="27">
        <v>4</v>
      </c>
      <c r="H13" s="27">
        <v>4</v>
      </c>
      <c r="I13" s="27">
        <v>11</v>
      </c>
      <c r="J13" s="27">
        <v>1</v>
      </c>
      <c r="K13" s="27">
        <v>0</v>
      </c>
      <c r="L13" s="27">
        <v>1</v>
      </c>
      <c r="M13" s="23">
        <f>SUM(EDProj[[#This Row],[★ Hard Case Voting Machines]:[★ Curbside (Rollie) Voting Machine]])</f>
        <v>13</v>
      </c>
      <c r="N13" s="23">
        <v>1</v>
      </c>
      <c r="O13" s="27">
        <v>7</v>
      </c>
      <c r="P13" s="27">
        <v>1</v>
      </c>
      <c r="Q13" s="23">
        <v>1</v>
      </c>
      <c r="R13" s="27">
        <f>EDProj[[#This Row],[★ Judge]]+EDProj[[#This Row],[★ Alt Judge]]+EDProj[[#This Row],[★ Clerks]]</f>
        <v>9</v>
      </c>
      <c r="S13" s="28">
        <v>1500</v>
      </c>
      <c r="T13" s="23">
        <f>EDProj[[#This Row],[★ Ballot Cards]]/250</f>
        <v>6</v>
      </c>
      <c r="U13" s="38">
        <f>EDProj[[#This Row],[★ Soft Case (ADA) Voting Machines]]+EDProj[[#This Row],[Old EPB Allocation]]</f>
        <v>5</v>
      </c>
      <c r="V13" s="38">
        <f>EDProj[[#This Row],[Tables Needed]]</f>
        <v>5</v>
      </c>
      <c r="W13" s="27">
        <v>6</v>
      </c>
      <c r="X13" s="27">
        <v>12</v>
      </c>
      <c r="Y13" s="23">
        <f>ROUNDUP(IF(EDProj[[#This Row],[Tables Needed]]-EDProj[[#This Row],[Tables Provided by the Vote Center]]&lt;0,0,EDProj[[#This Row],[Tables Needed]]-EDProj[[#This Row],[Tables Provided by the Vote Center]]),0)</f>
        <v>0</v>
      </c>
      <c r="Z13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14" spans="1:26" ht="13.9">
      <c r="A14" s="23" t="s">
        <v>294</v>
      </c>
      <c r="B14" s="24" t="s">
        <v>295</v>
      </c>
      <c r="C14" s="73" t="s">
        <v>329</v>
      </c>
      <c r="D14" s="25" t="s">
        <v>344</v>
      </c>
      <c r="E14" s="26" t="s">
        <v>345</v>
      </c>
      <c r="F14" s="92">
        <v>535</v>
      </c>
      <c r="G14" s="27">
        <v>4</v>
      </c>
      <c r="H14" s="27">
        <v>4</v>
      </c>
      <c r="I14" s="27">
        <v>7</v>
      </c>
      <c r="J14" s="27">
        <v>1</v>
      </c>
      <c r="K14" s="27">
        <v>0</v>
      </c>
      <c r="L14" s="27">
        <v>0</v>
      </c>
      <c r="M14" s="23">
        <f>SUM(EDProj[[#This Row],[★ Hard Case Voting Machines]:[★ Curbside (Rollie) Voting Machine]])</f>
        <v>8</v>
      </c>
      <c r="N14" s="23">
        <v>1</v>
      </c>
      <c r="O14" s="27">
        <v>5</v>
      </c>
      <c r="P14" s="27">
        <v>1</v>
      </c>
      <c r="Q14" s="23">
        <v>1</v>
      </c>
      <c r="R14" s="27">
        <f>EDProj[[#This Row],[★ Judge]]+EDProj[[#This Row],[★ Alt Judge]]+EDProj[[#This Row],[★ Clerks]]</f>
        <v>7</v>
      </c>
      <c r="S14" s="28">
        <v>1000</v>
      </c>
      <c r="T14" s="23">
        <f>EDProj[[#This Row],[★ Ballot Cards]]/250</f>
        <v>4</v>
      </c>
      <c r="U14" s="38">
        <f>EDProj[[#This Row],[★ Soft Case (ADA) Voting Machines]]+EDProj[[#This Row],[Old EPB Allocation]]</f>
        <v>5</v>
      </c>
      <c r="V14" s="38">
        <f>EDProj[[#This Row],[Tables Needed]]</f>
        <v>5</v>
      </c>
      <c r="W14" s="27">
        <v>0</v>
      </c>
      <c r="X14" s="27">
        <v>40</v>
      </c>
      <c r="Y14" s="23">
        <f>ROUNDUP(IF(EDProj[[#This Row],[Tables Needed]]-EDProj[[#This Row],[Tables Provided by the Vote Center]]&lt;0,0,EDProj[[#This Row],[Tables Needed]]-EDProj[[#This Row],[Tables Provided by the Vote Center]]),0)</f>
        <v>5</v>
      </c>
      <c r="Z14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15" spans="1:26" ht="13.9">
      <c r="A15" s="23" t="s">
        <v>113</v>
      </c>
      <c r="B15" s="24" t="s">
        <v>169</v>
      </c>
      <c r="C15" s="73" t="s">
        <v>329</v>
      </c>
      <c r="D15" s="30" t="s">
        <v>168</v>
      </c>
      <c r="E15" s="31" t="s">
        <v>170</v>
      </c>
      <c r="F15" s="93">
        <v>3503</v>
      </c>
      <c r="G15" s="27">
        <v>6.333333333333333</v>
      </c>
      <c r="H15" s="27">
        <v>14</v>
      </c>
      <c r="I15" s="27">
        <v>22</v>
      </c>
      <c r="J15" s="27">
        <v>1</v>
      </c>
      <c r="K15" s="27">
        <v>2</v>
      </c>
      <c r="L15" s="27">
        <v>1</v>
      </c>
      <c r="M15" s="23">
        <f>SUM(EDProj[[#This Row],[★ Hard Case Voting Machines]:[★ Curbside (Rollie) Voting Machine]])</f>
        <v>26</v>
      </c>
      <c r="N15" s="23">
        <v>1</v>
      </c>
      <c r="O15" s="27">
        <v>21</v>
      </c>
      <c r="P15" s="27">
        <v>1</v>
      </c>
      <c r="Q15" s="23">
        <v>1</v>
      </c>
      <c r="R15" s="27">
        <f>EDProj[[#This Row],[★ Judge]]+EDProj[[#This Row],[★ Alt Judge]]+EDProj[[#This Row],[★ Clerks]]</f>
        <v>23</v>
      </c>
      <c r="S15" s="28">
        <v>5750</v>
      </c>
      <c r="T15" s="23">
        <f>EDProj[[#This Row],[★ Ballot Cards]]/250</f>
        <v>23</v>
      </c>
      <c r="U15" s="38">
        <f>EDProj[[#This Row],[★ Soft Case (ADA) Voting Machines]]+EDProj[[#This Row],[Old EPB Allocation]]</f>
        <v>7.333333333333333</v>
      </c>
      <c r="V15" s="38">
        <f>EDProj[[#This Row],[Tables Needed]]</f>
        <v>7.333333333333333</v>
      </c>
      <c r="W15" s="27">
        <v>0</v>
      </c>
      <c r="X15" s="27">
        <v>0</v>
      </c>
      <c r="Y15" s="23">
        <f>ROUNDUP(IF(EDProj[[#This Row],[Tables Needed]]-EDProj[[#This Row],[Tables Provided by the Vote Center]]&lt;0,0,EDProj[[#This Row],[Tables Needed]]-EDProj[[#This Row],[Tables Provided by the Vote Center]]),0)</f>
        <v>8</v>
      </c>
      <c r="Z15" s="23">
        <f>ROUNDUP(IF(EDProj[[#This Row],[Chairs Needed]]-EDProj[[#This Row],[Chairs Provided by the Vote Center]]&lt;0,0,EDProj[[#This Row],[Chairs Needed]]-EDProj[[#This Row],[Chairs Provided by the Vote Center]]),0)</f>
        <v>8</v>
      </c>
    </row>
    <row r="16" spans="1:26" ht="13.9">
      <c r="A16" s="23" t="s">
        <v>294</v>
      </c>
      <c r="B16" s="24" t="s">
        <v>295</v>
      </c>
      <c r="C16" s="73" t="s">
        <v>329</v>
      </c>
      <c r="D16" s="25" t="s">
        <v>346</v>
      </c>
      <c r="E16" s="26" t="s">
        <v>347</v>
      </c>
      <c r="F16" s="92">
        <v>227</v>
      </c>
      <c r="G16" s="27">
        <v>4</v>
      </c>
      <c r="H16" s="27">
        <v>4</v>
      </c>
      <c r="I16" s="27">
        <v>3</v>
      </c>
      <c r="J16" s="27">
        <v>1</v>
      </c>
      <c r="K16" s="27">
        <v>0</v>
      </c>
      <c r="L16" s="27">
        <v>0</v>
      </c>
      <c r="M16" s="23">
        <f>SUM(EDProj[[#This Row],[★ Hard Case Voting Machines]:[★ Curbside (Rollie) Voting Machine]])</f>
        <v>4</v>
      </c>
      <c r="N16" s="23">
        <v>1</v>
      </c>
      <c r="O16" s="27">
        <v>4</v>
      </c>
      <c r="P16" s="27">
        <v>1</v>
      </c>
      <c r="Q16" s="23">
        <v>1</v>
      </c>
      <c r="R16" s="27">
        <f>EDProj[[#This Row],[★ Judge]]+EDProj[[#This Row],[★ Alt Judge]]+EDProj[[#This Row],[★ Clerks]]</f>
        <v>6</v>
      </c>
      <c r="S16" s="28">
        <v>500</v>
      </c>
      <c r="T16" s="23">
        <f>EDProj[[#This Row],[★ Ballot Cards]]/250</f>
        <v>2</v>
      </c>
      <c r="U16" s="38">
        <f>EDProj[[#This Row],[★ Soft Case (ADA) Voting Machines]]+EDProj[[#This Row],[Old EPB Allocation]]</f>
        <v>5</v>
      </c>
      <c r="V16" s="38">
        <f>EDProj[[#This Row],[Tables Needed]]</f>
        <v>5</v>
      </c>
      <c r="W16" s="27">
        <v>4</v>
      </c>
      <c r="X16" s="27">
        <v>10</v>
      </c>
      <c r="Y16" s="23">
        <f>ROUNDUP(IF(EDProj[[#This Row],[Tables Needed]]-EDProj[[#This Row],[Tables Provided by the Vote Center]]&lt;0,0,EDProj[[#This Row],[Tables Needed]]-EDProj[[#This Row],[Tables Provided by the Vote Center]]),0)</f>
        <v>1</v>
      </c>
      <c r="Z16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17" spans="1:26" ht="13.9">
      <c r="A17" s="23" t="s">
        <v>294</v>
      </c>
      <c r="B17" s="24" t="s">
        <v>295</v>
      </c>
      <c r="C17" s="73" t="s">
        <v>329</v>
      </c>
      <c r="D17" s="25" t="s">
        <v>348</v>
      </c>
      <c r="E17" s="26" t="s">
        <v>349</v>
      </c>
      <c r="F17" s="92">
        <v>639</v>
      </c>
      <c r="G17" s="27">
        <v>4</v>
      </c>
      <c r="H17" s="27">
        <v>4</v>
      </c>
      <c r="I17" s="27">
        <v>9</v>
      </c>
      <c r="J17" s="27">
        <v>1</v>
      </c>
      <c r="K17" s="27">
        <v>0</v>
      </c>
      <c r="L17" s="27">
        <v>0</v>
      </c>
      <c r="M17" s="23">
        <f>SUM(EDProj[[#This Row],[★ Hard Case Voting Machines]:[★ Curbside (Rollie) Voting Machine]])</f>
        <v>10</v>
      </c>
      <c r="N17" s="23">
        <v>1</v>
      </c>
      <c r="O17" s="27">
        <v>6</v>
      </c>
      <c r="P17" s="27">
        <v>1</v>
      </c>
      <c r="Q17" s="23">
        <v>1</v>
      </c>
      <c r="R17" s="27">
        <f>EDProj[[#This Row],[★ Judge]]+EDProj[[#This Row],[★ Alt Judge]]+EDProj[[#This Row],[★ Clerks]]</f>
        <v>8</v>
      </c>
      <c r="S17" s="28">
        <v>1250</v>
      </c>
      <c r="T17" s="23">
        <f>EDProj[[#This Row],[★ Ballot Cards]]/250</f>
        <v>5</v>
      </c>
      <c r="U17" s="38">
        <f>EDProj[[#This Row],[★ Soft Case (ADA) Voting Machines]]+EDProj[[#This Row],[Old EPB Allocation]]</f>
        <v>5</v>
      </c>
      <c r="V17" s="38">
        <f>EDProj[[#This Row],[Tables Needed]]</f>
        <v>5</v>
      </c>
      <c r="W17" s="27">
        <v>0</v>
      </c>
      <c r="X17" s="27">
        <v>0</v>
      </c>
      <c r="Y17" s="23">
        <f>ROUNDUP(IF(EDProj[[#This Row],[Tables Needed]]-EDProj[[#This Row],[Tables Provided by the Vote Center]]&lt;0,0,EDProj[[#This Row],[Tables Needed]]-EDProj[[#This Row],[Tables Provided by the Vote Center]]),0)</f>
        <v>5</v>
      </c>
      <c r="Z17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18" spans="1:26" ht="13.9">
      <c r="A18" s="23" t="s">
        <v>294</v>
      </c>
      <c r="B18" s="24" t="s">
        <v>295</v>
      </c>
      <c r="C18" s="73" t="s">
        <v>329</v>
      </c>
      <c r="D18" s="25" t="s">
        <v>350</v>
      </c>
      <c r="E18" s="26" t="s">
        <v>351</v>
      </c>
      <c r="F18" s="92">
        <v>852</v>
      </c>
      <c r="G18" s="27">
        <v>4</v>
      </c>
      <c r="H18" s="27">
        <v>4</v>
      </c>
      <c r="I18" s="27">
        <v>11</v>
      </c>
      <c r="J18" s="27">
        <v>1</v>
      </c>
      <c r="K18" s="27">
        <v>0</v>
      </c>
      <c r="L18" s="27">
        <v>0</v>
      </c>
      <c r="M18" s="23">
        <f>SUM(EDProj[[#This Row],[★ Hard Case Voting Machines]:[★ Curbside (Rollie) Voting Machine]])</f>
        <v>12</v>
      </c>
      <c r="N18" s="23">
        <v>1</v>
      </c>
      <c r="O18" s="27">
        <v>6</v>
      </c>
      <c r="P18" s="27">
        <v>1</v>
      </c>
      <c r="Q18" s="23">
        <v>1</v>
      </c>
      <c r="R18" s="27">
        <f>EDProj[[#This Row],[★ Judge]]+EDProj[[#This Row],[★ Alt Judge]]+EDProj[[#This Row],[★ Clerks]]</f>
        <v>8</v>
      </c>
      <c r="S18" s="28">
        <v>1500</v>
      </c>
      <c r="T18" s="23">
        <f>EDProj[[#This Row],[★ Ballot Cards]]/250</f>
        <v>6</v>
      </c>
      <c r="U18" s="38">
        <f>EDProj[[#This Row],[★ Soft Case (ADA) Voting Machines]]+EDProj[[#This Row],[Old EPB Allocation]]</f>
        <v>5</v>
      </c>
      <c r="V18" s="38">
        <f>EDProj[[#This Row],[Tables Needed]]</f>
        <v>5</v>
      </c>
      <c r="W18" s="27">
        <v>0</v>
      </c>
      <c r="X18" s="27">
        <v>0</v>
      </c>
      <c r="Y18" s="23">
        <f>ROUNDUP(IF(EDProj[[#This Row],[Tables Needed]]-EDProj[[#This Row],[Tables Provided by the Vote Center]]&lt;0,0,EDProj[[#This Row],[Tables Needed]]-EDProj[[#This Row],[Tables Provided by the Vote Center]]),0)</f>
        <v>5</v>
      </c>
      <c r="Z18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19" spans="1:26" ht="13.9">
      <c r="A19" s="23" t="s">
        <v>294</v>
      </c>
      <c r="B19" s="24" t="s">
        <v>295</v>
      </c>
      <c r="C19" s="73" t="s">
        <v>329</v>
      </c>
      <c r="D19" s="25" t="s">
        <v>352</v>
      </c>
      <c r="E19" s="26" t="s">
        <v>353</v>
      </c>
      <c r="F19" s="92">
        <v>926</v>
      </c>
      <c r="G19" s="27">
        <v>4</v>
      </c>
      <c r="H19" s="27">
        <v>4</v>
      </c>
      <c r="I19" s="27">
        <v>11</v>
      </c>
      <c r="J19" s="27">
        <v>1</v>
      </c>
      <c r="K19" s="27">
        <v>0</v>
      </c>
      <c r="L19" s="27">
        <v>0</v>
      </c>
      <c r="M19" s="23">
        <f>SUM(EDProj[[#This Row],[★ Hard Case Voting Machines]:[★ Curbside (Rollie) Voting Machine]])</f>
        <v>12</v>
      </c>
      <c r="N19" s="23">
        <v>1</v>
      </c>
      <c r="O19" s="27">
        <v>7</v>
      </c>
      <c r="P19" s="23">
        <v>1</v>
      </c>
      <c r="Q19" s="23">
        <v>1</v>
      </c>
      <c r="R19" s="27">
        <f>EDProj[[#This Row],[★ Judge]]+EDProj[[#This Row],[★ Alt Judge]]+EDProj[[#This Row],[★ Clerks]]</f>
        <v>9</v>
      </c>
      <c r="S19" s="28">
        <v>1500</v>
      </c>
      <c r="T19" s="23">
        <f>EDProj[[#This Row],[★ Ballot Cards]]/250</f>
        <v>6</v>
      </c>
      <c r="U19" s="38">
        <f>EDProj[[#This Row],[★ Soft Case (ADA) Voting Machines]]+EDProj[[#This Row],[Old EPB Allocation]]</f>
        <v>5</v>
      </c>
      <c r="V19" s="38">
        <f>EDProj[[#This Row],[Tables Needed]]</f>
        <v>5</v>
      </c>
      <c r="W19" s="27">
        <v>0</v>
      </c>
      <c r="X19" s="27">
        <v>0</v>
      </c>
      <c r="Y19" s="23">
        <f>ROUNDUP(IF(EDProj[[#This Row],[Tables Needed]]-EDProj[[#This Row],[Tables Provided by the Vote Center]]&lt;0,0,EDProj[[#This Row],[Tables Needed]]-EDProj[[#This Row],[Tables Provided by the Vote Center]]),0)</f>
        <v>5</v>
      </c>
      <c r="Z19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20" spans="1:26" ht="13.9">
      <c r="A20" s="23" t="s">
        <v>294</v>
      </c>
      <c r="B20" s="24" t="s">
        <v>295</v>
      </c>
      <c r="C20" s="73" t="s">
        <v>329</v>
      </c>
      <c r="D20" s="25" t="s">
        <v>354</v>
      </c>
      <c r="E20" s="26" t="s">
        <v>355</v>
      </c>
      <c r="F20" s="92">
        <v>341</v>
      </c>
      <c r="G20" s="27">
        <v>4</v>
      </c>
      <c r="H20" s="27">
        <v>4</v>
      </c>
      <c r="I20" s="27">
        <v>6</v>
      </c>
      <c r="J20" s="27">
        <v>1</v>
      </c>
      <c r="K20" s="27">
        <v>0</v>
      </c>
      <c r="L20" s="27">
        <v>0</v>
      </c>
      <c r="M20" s="23">
        <f>SUM(EDProj[[#This Row],[★ Hard Case Voting Machines]:[★ Curbside (Rollie) Voting Machine]])</f>
        <v>7</v>
      </c>
      <c r="N20" s="23">
        <v>1</v>
      </c>
      <c r="O20" s="27">
        <v>5</v>
      </c>
      <c r="P20" s="23">
        <v>1</v>
      </c>
      <c r="Q20" s="23">
        <v>1</v>
      </c>
      <c r="R20" s="27">
        <f>EDProj[[#This Row],[★ Judge]]+EDProj[[#This Row],[★ Alt Judge]]+EDProj[[#This Row],[★ Clerks]]</f>
        <v>7</v>
      </c>
      <c r="S20" s="28">
        <v>750</v>
      </c>
      <c r="T20" s="23">
        <f>EDProj[[#This Row],[★ Ballot Cards]]/250</f>
        <v>3</v>
      </c>
      <c r="U20" s="38">
        <f>EDProj[[#This Row],[★ Soft Case (ADA) Voting Machines]]+EDProj[[#This Row],[Old EPB Allocation]]</f>
        <v>5</v>
      </c>
      <c r="V20" s="38">
        <f>EDProj[[#This Row],[Tables Needed]]</f>
        <v>5</v>
      </c>
      <c r="W20" s="27">
        <v>2</v>
      </c>
      <c r="X20" s="27">
        <v>6</v>
      </c>
      <c r="Y20" s="23">
        <f>ROUNDUP(IF(EDProj[[#This Row],[Tables Needed]]-EDProj[[#This Row],[Tables Provided by the Vote Center]]&lt;0,0,EDProj[[#This Row],[Tables Needed]]-EDProj[[#This Row],[Tables Provided by the Vote Center]]),0)</f>
        <v>3</v>
      </c>
      <c r="Z20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21" spans="1:26" ht="13.9">
      <c r="A21" s="23" t="s">
        <v>113</v>
      </c>
      <c r="B21" s="24" t="s">
        <v>160</v>
      </c>
      <c r="C21" s="73" t="s">
        <v>329</v>
      </c>
      <c r="D21" s="25" t="s">
        <v>159</v>
      </c>
      <c r="E21" s="26" t="s">
        <v>161</v>
      </c>
      <c r="F21" s="92">
        <v>2351</v>
      </c>
      <c r="G21" s="27">
        <v>5</v>
      </c>
      <c r="H21" s="27">
        <v>7</v>
      </c>
      <c r="I21" s="27">
        <v>17</v>
      </c>
      <c r="J21" s="27">
        <v>1</v>
      </c>
      <c r="K21" s="27">
        <v>2</v>
      </c>
      <c r="L21" s="27">
        <v>0</v>
      </c>
      <c r="M21" s="23">
        <f>SUM(EDProj[[#This Row],[★ Hard Case Voting Machines]:[★ Curbside (Rollie) Voting Machine]])</f>
        <v>20</v>
      </c>
      <c r="N21" s="23">
        <v>1</v>
      </c>
      <c r="O21" s="27">
        <v>12</v>
      </c>
      <c r="P21" s="23">
        <v>1</v>
      </c>
      <c r="Q21" s="23">
        <v>1</v>
      </c>
      <c r="R21" s="27">
        <f>EDProj[[#This Row],[★ Judge]]+EDProj[[#This Row],[★ Alt Judge]]+EDProj[[#This Row],[★ Clerks]]</f>
        <v>14</v>
      </c>
      <c r="S21" s="28">
        <v>3500</v>
      </c>
      <c r="T21" s="23">
        <f>EDProj[[#This Row],[★ Ballot Cards]]/250</f>
        <v>14</v>
      </c>
      <c r="U21" s="38">
        <f>EDProj[[#This Row],[★ Soft Case (ADA) Voting Machines]]+EDProj[[#This Row],[Old EPB Allocation]]</f>
        <v>6</v>
      </c>
      <c r="V21" s="38">
        <f>EDProj[[#This Row],[Tables Needed]]</f>
        <v>6</v>
      </c>
      <c r="W21" s="27">
        <v>20</v>
      </c>
      <c r="X21" s="27">
        <v>30</v>
      </c>
      <c r="Y21" s="23">
        <f>ROUNDUP(IF(EDProj[[#This Row],[Tables Needed]]-EDProj[[#This Row],[Tables Provided by the Vote Center]]&lt;0,0,EDProj[[#This Row],[Tables Needed]]-EDProj[[#This Row],[Tables Provided by the Vote Center]]),0)</f>
        <v>0</v>
      </c>
      <c r="Z21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22" spans="1:26" ht="13.9">
      <c r="A22" s="23" t="s">
        <v>294</v>
      </c>
      <c r="B22" s="24" t="s">
        <v>295</v>
      </c>
      <c r="C22" s="73" t="s">
        <v>329</v>
      </c>
      <c r="D22" s="25" t="s">
        <v>356</v>
      </c>
      <c r="E22" s="26" t="s">
        <v>357</v>
      </c>
      <c r="F22" s="92">
        <v>182</v>
      </c>
      <c r="G22" s="27">
        <v>4</v>
      </c>
      <c r="H22" s="27">
        <v>4</v>
      </c>
      <c r="I22" s="27">
        <v>3</v>
      </c>
      <c r="J22" s="27">
        <v>1</v>
      </c>
      <c r="K22" s="27">
        <v>0</v>
      </c>
      <c r="L22" s="27">
        <v>0</v>
      </c>
      <c r="M22" s="23">
        <f>SUM(EDProj[[#This Row],[★ Hard Case Voting Machines]:[★ Curbside (Rollie) Voting Machine]])</f>
        <v>4</v>
      </c>
      <c r="N22" s="23">
        <v>1</v>
      </c>
      <c r="O22" s="27">
        <v>4</v>
      </c>
      <c r="P22" s="23">
        <v>1</v>
      </c>
      <c r="Q22" s="23">
        <v>1</v>
      </c>
      <c r="R22" s="27">
        <f>EDProj[[#This Row],[★ Judge]]+EDProj[[#This Row],[★ Alt Judge]]+EDProj[[#This Row],[★ Clerks]]</f>
        <v>6</v>
      </c>
      <c r="S22" s="28">
        <v>500</v>
      </c>
      <c r="T22" s="23">
        <f>EDProj[[#This Row],[★ Ballot Cards]]/250</f>
        <v>2</v>
      </c>
      <c r="U22" s="38">
        <f>EDProj[[#This Row],[★ Soft Case (ADA) Voting Machines]]+EDProj[[#This Row],[Old EPB Allocation]]</f>
        <v>5</v>
      </c>
      <c r="V22" s="38">
        <f>EDProj[[#This Row],[Tables Needed]]</f>
        <v>5</v>
      </c>
      <c r="W22" s="27">
        <v>0</v>
      </c>
      <c r="X22" s="27">
        <v>0</v>
      </c>
      <c r="Y22" s="23">
        <f>ROUNDUP(IF(EDProj[[#This Row],[Tables Needed]]-EDProj[[#This Row],[Tables Provided by the Vote Center]]&lt;0,0,EDProj[[#This Row],[Tables Needed]]-EDProj[[#This Row],[Tables Provided by the Vote Center]]),0)</f>
        <v>5</v>
      </c>
      <c r="Z22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23" spans="1:26" ht="13.9">
      <c r="A23" s="23" t="s">
        <v>113</v>
      </c>
      <c r="B23" s="24" t="s">
        <v>133</v>
      </c>
      <c r="C23" s="73" t="s">
        <v>329</v>
      </c>
      <c r="D23" s="25" t="s">
        <v>132</v>
      </c>
      <c r="E23" s="26" t="s">
        <v>134</v>
      </c>
      <c r="F23" s="92">
        <v>833</v>
      </c>
      <c r="G23" s="27">
        <v>4</v>
      </c>
      <c r="H23" s="27">
        <v>4</v>
      </c>
      <c r="I23" s="27">
        <v>10</v>
      </c>
      <c r="J23" s="27">
        <v>1</v>
      </c>
      <c r="K23" s="27">
        <v>1</v>
      </c>
      <c r="L23" s="27">
        <v>1</v>
      </c>
      <c r="M23" s="23">
        <f>SUM(EDProj[[#This Row],[★ Hard Case Voting Machines]:[★ Curbside (Rollie) Voting Machine]])</f>
        <v>13</v>
      </c>
      <c r="N23" s="23">
        <v>1</v>
      </c>
      <c r="O23" s="27">
        <v>7</v>
      </c>
      <c r="P23" s="23">
        <v>1</v>
      </c>
      <c r="Q23" s="23">
        <v>1</v>
      </c>
      <c r="R23" s="27">
        <f>EDProj[[#This Row],[★ Judge]]+EDProj[[#This Row],[★ Alt Judge]]+EDProj[[#This Row],[★ Clerks]]</f>
        <v>9</v>
      </c>
      <c r="S23" s="28">
        <v>1250</v>
      </c>
      <c r="T23" s="23">
        <f>EDProj[[#This Row],[★ Ballot Cards]]/250</f>
        <v>5</v>
      </c>
      <c r="U23" s="38">
        <f>EDProj[[#This Row],[★ Soft Case (ADA) Voting Machines]]+EDProj[[#This Row],[Old EPB Allocation]]</f>
        <v>5</v>
      </c>
      <c r="V23" s="38">
        <f>EDProj[[#This Row],[Tables Needed]]</f>
        <v>5</v>
      </c>
      <c r="W23" s="27">
        <v>0</v>
      </c>
      <c r="X23" s="27">
        <v>0</v>
      </c>
      <c r="Y23" s="23">
        <f>ROUNDUP(IF(EDProj[[#This Row],[Tables Needed]]-EDProj[[#This Row],[Tables Provided by the Vote Center]]&lt;0,0,EDProj[[#This Row],[Tables Needed]]-EDProj[[#This Row],[Tables Provided by the Vote Center]]),0)</f>
        <v>5</v>
      </c>
      <c r="Z23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24" spans="1:26" ht="13.9">
      <c r="A24" s="23" t="s">
        <v>294</v>
      </c>
      <c r="B24" s="24" t="s">
        <v>295</v>
      </c>
      <c r="C24" s="73" t="s">
        <v>329</v>
      </c>
      <c r="D24" s="25" t="s">
        <v>358</v>
      </c>
      <c r="E24" s="26" t="s">
        <v>359</v>
      </c>
      <c r="F24" s="92">
        <v>155</v>
      </c>
      <c r="G24" s="27">
        <v>4</v>
      </c>
      <c r="H24" s="27">
        <v>4</v>
      </c>
      <c r="I24" s="27">
        <v>2</v>
      </c>
      <c r="J24" s="27">
        <v>1</v>
      </c>
      <c r="K24" s="27">
        <v>0</v>
      </c>
      <c r="L24" s="27">
        <v>0</v>
      </c>
      <c r="M24" s="23">
        <f>SUM(EDProj[[#This Row],[★ Hard Case Voting Machines]:[★ Curbside (Rollie) Voting Machine]])</f>
        <v>3</v>
      </c>
      <c r="N24" s="23">
        <v>1</v>
      </c>
      <c r="O24" s="27">
        <v>4</v>
      </c>
      <c r="P24" s="23">
        <v>1</v>
      </c>
      <c r="Q24" s="23">
        <v>1</v>
      </c>
      <c r="R24" s="27">
        <f>EDProj[[#This Row],[★ Judge]]+EDProj[[#This Row],[★ Alt Judge]]+EDProj[[#This Row],[★ Clerks]]</f>
        <v>6</v>
      </c>
      <c r="S24" s="28">
        <v>500</v>
      </c>
      <c r="T24" s="23">
        <f>EDProj[[#This Row],[★ Ballot Cards]]/250</f>
        <v>2</v>
      </c>
      <c r="U24" s="38">
        <f>EDProj[[#This Row],[★ Soft Case (ADA) Voting Machines]]+EDProj[[#This Row],[Old EPB Allocation]]</f>
        <v>5</v>
      </c>
      <c r="V24" s="38">
        <f>EDProj[[#This Row],[Tables Needed]]</f>
        <v>5</v>
      </c>
      <c r="W24" s="27">
        <v>4</v>
      </c>
      <c r="X24" s="27">
        <v>6</v>
      </c>
      <c r="Y24" s="23">
        <f>ROUNDUP(IF(EDProj[[#This Row],[Tables Needed]]-EDProj[[#This Row],[Tables Provided by the Vote Center]]&lt;0,0,EDProj[[#This Row],[Tables Needed]]-EDProj[[#This Row],[Tables Provided by the Vote Center]]),0)</f>
        <v>1</v>
      </c>
      <c r="Z24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25" spans="1:26" ht="13.9">
      <c r="A25" s="23" t="s">
        <v>294</v>
      </c>
      <c r="B25" s="24" t="s">
        <v>295</v>
      </c>
      <c r="C25" s="73" t="s">
        <v>329</v>
      </c>
      <c r="D25" s="25" t="s">
        <v>360</v>
      </c>
      <c r="E25" s="26" t="s">
        <v>361</v>
      </c>
      <c r="F25" s="92">
        <v>240</v>
      </c>
      <c r="G25" s="27">
        <v>4</v>
      </c>
      <c r="H25" s="27">
        <v>4</v>
      </c>
      <c r="I25" s="27">
        <v>3</v>
      </c>
      <c r="J25" s="27">
        <v>1</v>
      </c>
      <c r="K25" s="27">
        <v>0</v>
      </c>
      <c r="L25" s="27">
        <v>0</v>
      </c>
      <c r="M25" s="23">
        <f>SUM(EDProj[[#This Row],[★ Hard Case Voting Machines]:[★ Curbside (Rollie) Voting Machine]])</f>
        <v>4</v>
      </c>
      <c r="N25" s="23">
        <v>1</v>
      </c>
      <c r="O25" s="27">
        <v>4</v>
      </c>
      <c r="P25" s="23">
        <v>1</v>
      </c>
      <c r="Q25" s="23">
        <v>1</v>
      </c>
      <c r="R25" s="27">
        <f>EDProj[[#This Row],[★ Judge]]+EDProj[[#This Row],[★ Alt Judge]]+EDProj[[#This Row],[★ Clerks]]</f>
        <v>6</v>
      </c>
      <c r="S25" s="28">
        <v>500</v>
      </c>
      <c r="T25" s="23">
        <f>EDProj[[#This Row],[★ Ballot Cards]]/250</f>
        <v>2</v>
      </c>
      <c r="U25" s="38">
        <f>EDProj[[#This Row],[★ Soft Case (ADA) Voting Machines]]+EDProj[[#This Row],[Old EPB Allocation]]</f>
        <v>5</v>
      </c>
      <c r="V25" s="38">
        <f>EDProj[[#This Row],[Tables Needed]]</f>
        <v>5</v>
      </c>
      <c r="W25" s="27">
        <v>2</v>
      </c>
      <c r="X25" s="27">
        <v>6</v>
      </c>
      <c r="Y25" s="23">
        <f>ROUNDUP(IF(EDProj[[#This Row],[Tables Needed]]-EDProj[[#This Row],[Tables Provided by the Vote Center]]&lt;0,0,EDProj[[#This Row],[Tables Needed]]-EDProj[[#This Row],[Tables Provided by the Vote Center]]),0)</f>
        <v>3</v>
      </c>
      <c r="Z25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26" spans="1:26" ht="13.9">
      <c r="A26" s="23" t="s">
        <v>294</v>
      </c>
      <c r="B26" s="24" t="s">
        <v>295</v>
      </c>
      <c r="C26" s="73" t="s">
        <v>329</v>
      </c>
      <c r="D26" s="25" t="s">
        <v>362</v>
      </c>
      <c r="E26" s="26" t="s">
        <v>363</v>
      </c>
      <c r="F26" s="92">
        <v>342</v>
      </c>
      <c r="G26" s="27">
        <v>4</v>
      </c>
      <c r="H26" s="27">
        <v>4</v>
      </c>
      <c r="I26" s="27">
        <v>5</v>
      </c>
      <c r="J26" s="27">
        <v>1</v>
      </c>
      <c r="K26" s="27">
        <v>0</v>
      </c>
      <c r="L26" s="27">
        <v>0</v>
      </c>
      <c r="M26" s="23">
        <f>SUM(EDProj[[#This Row],[★ Hard Case Voting Machines]:[★ Curbside (Rollie) Voting Machine]])</f>
        <v>6</v>
      </c>
      <c r="N26" s="23">
        <v>1</v>
      </c>
      <c r="O26" s="27">
        <v>5</v>
      </c>
      <c r="P26" s="23">
        <v>1</v>
      </c>
      <c r="Q26" s="23">
        <v>1</v>
      </c>
      <c r="R26" s="27">
        <f>EDProj[[#This Row],[★ Judge]]+EDProj[[#This Row],[★ Alt Judge]]+EDProj[[#This Row],[★ Clerks]]</f>
        <v>7</v>
      </c>
      <c r="S26" s="28">
        <v>750</v>
      </c>
      <c r="T26" s="23">
        <f>EDProj[[#This Row],[★ Ballot Cards]]/250</f>
        <v>3</v>
      </c>
      <c r="U26" s="38">
        <f>EDProj[[#This Row],[★ Soft Case (ADA) Voting Machines]]+EDProj[[#This Row],[Old EPB Allocation]]</f>
        <v>5</v>
      </c>
      <c r="V26" s="38">
        <f>EDProj[[#This Row],[Tables Needed]]</f>
        <v>5</v>
      </c>
      <c r="W26" s="27">
        <v>0</v>
      </c>
      <c r="X26" s="27">
        <v>0</v>
      </c>
      <c r="Y26" s="23">
        <f>ROUNDUP(IF(EDProj[[#This Row],[Tables Needed]]-EDProj[[#This Row],[Tables Provided by the Vote Center]]&lt;0,0,EDProj[[#This Row],[Tables Needed]]-EDProj[[#This Row],[Tables Provided by the Vote Center]]),0)</f>
        <v>5</v>
      </c>
      <c r="Z26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27" spans="1:26" ht="13.9">
      <c r="A27" s="23" t="s">
        <v>294</v>
      </c>
      <c r="B27" s="24" t="s">
        <v>295</v>
      </c>
      <c r="C27" s="73" t="s">
        <v>329</v>
      </c>
      <c r="D27" s="25" t="s">
        <v>364</v>
      </c>
      <c r="E27" s="26" t="s">
        <v>365</v>
      </c>
      <c r="F27" s="92">
        <v>263</v>
      </c>
      <c r="G27" s="27">
        <v>4</v>
      </c>
      <c r="H27" s="27">
        <v>4</v>
      </c>
      <c r="I27" s="27">
        <v>4</v>
      </c>
      <c r="J27" s="27">
        <v>1</v>
      </c>
      <c r="K27" s="27">
        <v>0</v>
      </c>
      <c r="L27" s="27">
        <v>0</v>
      </c>
      <c r="M27" s="23">
        <f>SUM(EDProj[[#This Row],[★ Hard Case Voting Machines]:[★ Curbside (Rollie) Voting Machine]])</f>
        <v>5</v>
      </c>
      <c r="N27" s="23">
        <v>1</v>
      </c>
      <c r="O27" s="27">
        <v>5</v>
      </c>
      <c r="P27" s="23">
        <v>1</v>
      </c>
      <c r="Q27" s="23">
        <v>1</v>
      </c>
      <c r="R27" s="27">
        <f>EDProj[[#This Row],[★ Judge]]+EDProj[[#This Row],[★ Alt Judge]]+EDProj[[#This Row],[★ Clerks]]</f>
        <v>7</v>
      </c>
      <c r="S27" s="28">
        <v>500</v>
      </c>
      <c r="T27" s="23">
        <f>EDProj[[#This Row],[★ Ballot Cards]]/250</f>
        <v>2</v>
      </c>
      <c r="U27" s="38">
        <f>EDProj[[#This Row],[★ Soft Case (ADA) Voting Machines]]+EDProj[[#This Row],[Old EPB Allocation]]</f>
        <v>5</v>
      </c>
      <c r="V27" s="38">
        <f>EDProj[[#This Row],[Tables Needed]]</f>
        <v>5</v>
      </c>
      <c r="W27" s="27">
        <v>2</v>
      </c>
      <c r="X27" s="27">
        <v>5</v>
      </c>
      <c r="Y27" s="23">
        <f>ROUNDUP(IF(EDProj[[#This Row],[Tables Needed]]-EDProj[[#This Row],[Tables Provided by the Vote Center]]&lt;0,0,EDProj[[#This Row],[Tables Needed]]-EDProj[[#This Row],[Tables Provided by the Vote Center]]),0)</f>
        <v>3</v>
      </c>
      <c r="Z27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28" spans="1:26" ht="13.9">
      <c r="A28" s="23" t="s">
        <v>294</v>
      </c>
      <c r="B28" s="24" t="s">
        <v>295</v>
      </c>
      <c r="C28" s="73" t="s">
        <v>329</v>
      </c>
      <c r="D28" s="25" t="s">
        <v>366</v>
      </c>
      <c r="E28" s="26" t="s">
        <v>367</v>
      </c>
      <c r="F28" s="92">
        <v>292</v>
      </c>
      <c r="G28" s="27">
        <v>4</v>
      </c>
      <c r="H28" s="27">
        <v>4</v>
      </c>
      <c r="I28" s="27">
        <v>4</v>
      </c>
      <c r="J28" s="27">
        <v>1</v>
      </c>
      <c r="K28" s="27">
        <v>0</v>
      </c>
      <c r="L28" s="27">
        <v>0</v>
      </c>
      <c r="M28" s="23">
        <f>SUM(EDProj[[#This Row],[★ Hard Case Voting Machines]:[★ Curbside (Rollie) Voting Machine]])</f>
        <v>5</v>
      </c>
      <c r="N28" s="23">
        <v>1</v>
      </c>
      <c r="O28" s="27">
        <v>5</v>
      </c>
      <c r="P28" s="23">
        <v>1</v>
      </c>
      <c r="Q28" s="23">
        <v>1</v>
      </c>
      <c r="R28" s="27">
        <f>EDProj[[#This Row],[★ Judge]]+EDProj[[#This Row],[★ Alt Judge]]+EDProj[[#This Row],[★ Clerks]]</f>
        <v>7</v>
      </c>
      <c r="S28" s="28">
        <v>500</v>
      </c>
      <c r="T28" s="23">
        <f>EDProj[[#This Row],[★ Ballot Cards]]/250</f>
        <v>2</v>
      </c>
      <c r="U28" s="38">
        <f>EDProj[[#This Row],[★ Soft Case (ADA) Voting Machines]]+EDProj[[#This Row],[Old EPB Allocation]]</f>
        <v>5</v>
      </c>
      <c r="V28" s="38">
        <f>EDProj[[#This Row],[Tables Needed]]</f>
        <v>5</v>
      </c>
      <c r="W28" s="27">
        <v>20</v>
      </c>
      <c r="X28" s="27">
        <v>20</v>
      </c>
      <c r="Y28" s="23">
        <f>ROUNDUP(IF(EDProj[[#This Row],[Tables Needed]]-EDProj[[#This Row],[Tables Provided by the Vote Center]]&lt;0,0,EDProj[[#This Row],[Tables Needed]]-EDProj[[#This Row],[Tables Provided by the Vote Center]]),0)</f>
        <v>0</v>
      </c>
      <c r="Z28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29" spans="1:26" ht="13.9">
      <c r="A29" s="23" t="s">
        <v>113</v>
      </c>
      <c r="B29" s="24" t="s">
        <v>211</v>
      </c>
      <c r="C29" s="73" t="s">
        <v>329</v>
      </c>
      <c r="D29" s="25" t="s">
        <v>210</v>
      </c>
      <c r="E29" s="26" t="s">
        <v>212</v>
      </c>
      <c r="F29" s="92">
        <v>2263</v>
      </c>
      <c r="G29" s="27">
        <v>5.8333333333333339</v>
      </c>
      <c r="H29" s="27">
        <v>7</v>
      </c>
      <c r="I29" s="27">
        <v>20</v>
      </c>
      <c r="J29" s="27">
        <v>1</v>
      </c>
      <c r="K29" s="27">
        <v>2</v>
      </c>
      <c r="L29" s="27">
        <v>0</v>
      </c>
      <c r="M29" s="23">
        <f>SUM(EDProj[[#This Row],[★ Hard Case Voting Machines]:[★ Curbside (Rollie) Voting Machine]])</f>
        <v>23</v>
      </c>
      <c r="N29" s="23">
        <v>1</v>
      </c>
      <c r="O29" s="27">
        <v>12</v>
      </c>
      <c r="P29" s="23">
        <v>1</v>
      </c>
      <c r="Q29" s="23">
        <v>1</v>
      </c>
      <c r="R29" s="27">
        <f>EDProj[[#This Row],[★ Judge]]+EDProj[[#This Row],[★ Alt Judge]]+EDProj[[#This Row],[★ Clerks]]</f>
        <v>14</v>
      </c>
      <c r="S29" s="28">
        <v>3750</v>
      </c>
      <c r="T29" s="23">
        <f>EDProj[[#This Row],[★ Ballot Cards]]/250</f>
        <v>15</v>
      </c>
      <c r="U29" s="38">
        <f>EDProj[[#This Row],[★ Soft Case (ADA) Voting Machines]]+EDProj[[#This Row],[Old EPB Allocation]]</f>
        <v>6.8333333333333339</v>
      </c>
      <c r="V29" s="38">
        <f>EDProj[[#This Row],[Tables Needed]]</f>
        <v>6.8333333333333339</v>
      </c>
      <c r="W29" s="27">
        <v>22</v>
      </c>
      <c r="X29" s="27">
        <v>100</v>
      </c>
      <c r="Y29" s="23">
        <f>ROUNDUP(IF(EDProj[[#This Row],[Tables Needed]]-EDProj[[#This Row],[Tables Provided by the Vote Center]]&lt;0,0,EDProj[[#This Row],[Tables Needed]]-EDProj[[#This Row],[Tables Provided by the Vote Center]]),0)</f>
        <v>0</v>
      </c>
      <c r="Z29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30" spans="1:26" ht="13.9">
      <c r="A30" s="23" t="s">
        <v>294</v>
      </c>
      <c r="B30" s="24" t="s">
        <v>295</v>
      </c>
      <c r="C30" s="73" t="s">
        <v>329</v>
      </c>
      <c r="D30" s="30" t="s">
        <v>368</v>
      </c>
      <c r="E30" s="31" t="s">
        <v>369</v>
      </c>
      <c r="F30" s="93">
        <v>393</v>
      </c>
      <c r="G30" s="27">
        <v>4</v>
      </c>
      <c r="H30" s="27">
        <v>4</v>
      </c>
      <c r="I30" s="27">
        <v>5</v>
      </c>
      <c r="J30" s="27">
        <v>1</v>
      </c>
      <c r="K30" s="27">
        <v>0</v>
      </c>
      <c r="L30" s="27">
        <v>0</v>
      </c>
      <c r="M30" s="23">
        <f>SUM(EDProj[[#This Row],[★ Hard Case Voting Machines]:[★ Curbside (Rollie) Voting Machine]])</f>
        <v>6</v>
      </c>
      <c r="N30" s="23">
        <v>1</v>
      </c>
      <c r="O30" s="27">
        <v>5</v>
      </c>
      <c r="P30" s="23">
        <v>1</v>
      </c>
      <c r="Q30" s="23">
        <v>1</v>
      </c>
      <c r="R30" s="27">
        <f>EDProj[[#This Row],[★ Judge]]+EDProj[[#This Row],[★ Alt Judge]]+EDProj[[#This Row],[★ Clerks]]</f>
        <v>7</v>
      </c>
      <c r="S30" s="28">
        <v>750</v>
      </c>
      <c r="T30" s="23">
        <f>EDProj[[#This Row],[★ Ballot Cards]]/250</f>
        <v>3</v>
      </c>
      <c r="U30" s="38">
        <f>EDProj[[#This Row],[★ Soft Case (ADA) Voting Machines]]+EDProj[[#This Row],[Old EPB Allocation]]</f>
        <v>5</v>
      </c>
      <c r="V30" s="38">
        <f>EDProj[[#This Row],[Tables Needed]]</f>
        <v>5</v>
      </c>
      <c r="W30" s="27">
        <v>1</v>
      </c>
      <c r="X30" s="27">
        <v>0</v>
      </c>
      <c r="Y30" s="23">
        <f>ROUNDUP(IF(EDProj[[#This Row],[Tables Needed]]-EDProj[[#This Row],[Tables Provided by the Vote Center]]&lt;0,0,EDProj[[#This Row],[Tables Needed]]-EDProj[[#This Row],[Tables Provided by the Vote Center]]),0)</f>
        <v>4</v>
      </c>
      <c r="Z30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31" spans="1:26" ht="13.9">
      <c r="A31" s="23" t="s">
        <v>294</v>
      </c>
      <c r="B31" s="24" t="s">
        <v>295</v>
      </c>
      <c r="C31" s="73" t="s">
        <v>329</v>
      </c>
      <c r="D31" s="30" t="s">
        <v>370</v>
      </c>
      <c r="E31" s="31" t="s">
        <v>371</v>
      </c>
      <c r="F31" s="93">
        <v>459</v>
      </c>
      <c r="G31" s="27">
        <v>4</v>
      </c>
      <c r="H31" s="27">
        <v>4</v>
      </c>
      <c r="I31" s="27">
        <v>7</v>
      </c>
      <c r="J31" s="27">
        <v>1</v>
      </c>
      <c r="K31" s="27">
        <v>0</v>
      </c>
      <c r="L31" s="27">
        <v>0</v>
      </c>
      <c r="M31" s="23">
        <f>SUM(EDProj[[#This Row],[★ Hard Case Voting Machines]:[★ Curbside (Rollie) Voting Machine]])</f>
        <v>8</v>
      </c>
      <c r="N31" s="23">
        <v>1</v>
      </c>
      <c r="O31" s="27">
        <v>5</v>
      </c>
      <c r="P31" s="23">
        <v>1</v>
      </c>
      <c r="Q31" s="23">
        <v>1</v>
      </c>
      <c r="R31" s="27">
        <f>EDProj[[#This Row],[★ Judge]]+EDProj[[#This Row],[★ Alt Judge]]+EDProj[[#This Row],[★ Clerks]]</f>
        <v>7</v>
      </c>
      <c r="S31" s="28">
        <v>750</v>
      </c>
      <c r="T31" s="23">
        <f>EDProj[[#This Row],[★ Ballot Cards]]/250</f>
        <v>3</v>
      </c>
      <c r="U31" s="38">
        <f>EDProj[[#This Row],[★ Soft Case (ADA) Voting Machines]]+EDProj[[#This Row],[Old EPB Allocation]]</f>
        <v>5</v>
      </c>
      <c r="V31" s="38">
        <f>EDProj[[#This Row],[Tables Needed]]</f>
        <v>5</v>
      </c>
      <c r="W31" s="27">
        <v>20</v>
      </c>
      <c r="X31" s="27">
        <v>50</v>
      </c>
      <c r="Y31" s="23">
        <f>ROUNDUP(IF(EDProj[[#This Row],[Tables Needed]]-EDProj[[#This Row],[Tables Provided by the Vote Center]]&lt;0,0,EDProj[[#This Row],[Tables Needed]]-EDProj[[#This Row],[Tables Provided by the Vote Center]]),0)</f>
        <v>0</v>
      </c>
      <c r="Z31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32" spans="1:26" ht="13.9">
      <c r="A32" s="23" t="s">
        <v>294</v>
      </c>
      <c r="B32" s="24" t="s">
        <v>295</v>
      </c>
      <c r="C32" s="73" t="s">
        <v>329</v>
      </c>
      <c r="D32" s="30" t="s">
        <v>372</v>
      </c>
      <c r="E32" s="31" t="s">
        <v>373</v>
      </c>
      <c r="F32" s="93">
        <v>269</v>
      </c>
      <c r="G32" s="27">
        <v>4</v>
      </c>
      <c r="H32" s="27">
        <v>4</v>
      </c>
      <c r="I32" s="27">
        <v>6</v>
      </c>
      <c r="J32" s="27">
        <v>1</v>
      </c>
      <c r="K32" s="27">
        <v>0</v>
      </c>
      <c r="L32" s="27">
        <v>0</v>
      </c>
      <c r="M32" s="23">
        <f>SUM(EDProj[[#This Row],[★ Hard Case Voting Machines]:[★ Curbside (Rollie) Voting Machine]])</f>
        <v>7</v>
      </c>
      <c r="N32" s="23">
        <v>1</v>
      </c>
      <c r="O32" s="27">
        <v>5</v>
      </c>
      <c r="P32" s="23">
        <v>1</v>
      </c>
      <c r="Q32" s="23">
        <v>1</v>
      </c>
      <c r="R32" s="27">
        <f>EDProj[[#This Row],[★ Judge]]+EDProj[[#This Row],[★ Alt Judge]]+EDProj[[#This Row],[★ Clerks]]</f>
        <v>7</v>
      </c>
      <c r="S32" s="28">
        <v>500</v>
      </c>
      <c r="T32" s="23">
        <f>EDProj[[#This Row],[★ Ballot Cards]]/250</f>
        <v>2</v>
      </c>
      <c r="U32" s="38">
        <f>EDProj[[#This Row],[★ Soft Case (ADA) Voting Machines]]+EDProj[[#This Row],[Old EPB Allocation]]</f>
        <v>5</v>
      </c>
      <c r="V32" s="38">
        <f>EDProj[[#This Row],[Tables Needed]]</f>
        <v>5</v>
      </c>
      <c r="W32" s="27">
        <v>20</v>
      </c>
      <c r="X32" s="27">
        <v>100</v>
      </c>
      <c r="Y32" s="23">
        <f>ROUNDUP(IF(EDProj[[#This Row],[Tables Needed]]-EDProj[[#This Row],[Tables Provided by the Vote Center]]&lt;0,0,EDProj[[#This Row],[Tables Needed]]-EDProj[[#This Row],[Tables Provided by the Vote Center]]),0)</f>
        <v>0</v>
      </c>
      <c r="Z32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33" spans="1:26" ht="13.9">
      <c r="A33" s="23" t="s">
        <v>113</v>
      </c>
      <c r="B33" s="24" t="s">
        <v>49</v>
      </c>
      <c r="C33" s="73" t="s">
        <v>329</v>
      </c>
      <c r="D33" s="30" t="s">
        <v>307</v>
      </c>
      <c r="E33" s="31" t="s">
        <v>50</v>
      </c>
      <c r="F33" s="93">
        <v>3064</v>
      </c>
      <c r="G33" s="27">
        <v>5</v>
      </c>
      <c r="H33" s="27">
        <v>6</v>
      </c>
      <c r="I33" s="27">
        <v>15</v>
      </c>
      <c r="J33" s="27">
        <v>1</v>
      </c>
      <c r="K33" s="27">
        <v>2</v>
      </c>
      <c r="L33" s="27">
        <v>1</v>
      </c>
      <c r="M33" s="23">
        <f>SUM(EDProj[[#This Row],[★ Hard Case Voting Machines]:[★ Curbside (Rollie) Voting Machine]])</f>
        <v>19</v>
      </c>
      <c r="N33" s="23">
        <v>1</v>
      </c>
      <c r="O33" s="27">
        <v>12</v>
      </c>
      <c r="P33" s="23">
        <v>1</v>
      </c>
      <c r="Q33" s="23">
        <v>1</v>
      </c>
      <c r="R33" s="27">
        <f>EDProj[[#This Row],[★ Judge]]+EDProj[[#This Row],[★ Alt Judge]]+EDProj[[#This Row],[★ Clerks]]</f>
        <v>14</v>
      </c>
      <c r="S33" s="28">
        <v>4000</v>
      </c>
      <c r="T33" s="23">
        <f>EDProj[[#This Row],[★ Ballot Cards]]/250</f>
        <v>16</v>
      </c>
      <c r="U33" s="38">
        <f>EDProj[[#This Row],[★ Soft Case (ADA) Voting Machines]]+EDProj[[#This Row],[Old EPB Allocation]]</f>
        <v>6</v>
      </c>
      <c r="V33" s="38">
        <f>EDProj[[#This Row],[Tables Needed]]</f>
        <v>6</v>
      </c>
      <c r="W33" s="27">
        <v>10</v>
      </c>
      <c r="X33" s="27">
        <v>15</v>
      </c>
      <c r="Y33" s="23">
        <f>ROUNDUP(IF(EDProj[[#This Row],[Tables Needed]]-EDProj[[#This Row],[Tables Provided by the Vote Center]]&lt;0,0,EDProj[[#This Row],[Tables Needed]]-EDProj[[#This Row],[Tables Provided by the Vote Center]]),0)</f>
        <v>0</v>
      </c>
      <c r="Z33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34" spans="1:26" ht="13.9">
      <c r="A34" s="23" t="s">
        <v>294</v>
      </c>
      <c r="B34" s="24" t="s">
        <v>295</v>
      </c>
      <c r="C34" s="73" t="s">
        <v>329</v>
      </c>
      <c r="D34" s="30" t="s">
        <v>374</v>
      </c>
      <c r="E34" s="31" t="s">
        <v>375</v>
      </c>
      <c r="F34" s="93">
        <v>525</v>
      </c>
      <c r="G34" s="27">
        <v>4</v>
      </c>
      <c r="H34" s="27">
        <v>4</v>
      </c>
      <c r="I34" s="27">
        <v>7</v>
      </c>
      <c r="J34" s="27">
        <v>1</v>
      </c>
      <c r="K34" s="27">
        <v>0</v>
      </c>
      <c r="L34" s="27">
        <v>0</v>
      </c>
      <c r="M34" s="23">
        <f>SUM(EDProj[[#This Row],[★ Hard Case Voting Machines]:[★ Curbside (Rollie) Voting Machine]])</f>
        <v>8</v>
      </c>
      <c r="N34" s="23">
        <v>1</v>
      </c>
      <c r="O34" s="27">
        <v>5</v>
      </c>
      <c r="P34" s="23">
        <v>1</v>
      </c>
      <c r="Q34" s="23">
        <v>1</v>
      </c>
      <c r="R34" s="27">
        <f>EDProj[[#This Row],[★ Judge]]+EDProj[[#This Row],[★ Alt Judge]]+EDProj[[#This Row],[★ Clerks]]</f>
        <v>7</v>
      </c>
      <c r="S34" s="28">
        <v>1000</v>
      </c>
      <c r="T34" s="23">
        <f>EDProj[[#This Row],[★ Ballot Cards]]/250</f>
        <v>4</v>
      </c>
      <c r="U34" s="38">
        <f>EDProj[[#This Row],[★ Soft Case (ADA) Voting Machines]]+EDProj[[#This Row],[Old EPB Allocation]]</f>
        <v>5</v>
      </c>
      <c r="V34" s="38">
        <f>EDProj[[#This Row],[Tables Needed]]</f>
        <v>5</v>
      </c>
      <c r="W34" s="27">
        <v>0</v>
      </c>
      <c r="X34" s="27">
        <v>0</v>
      </c>
      <c r="Y34" s="23">
        <f>ROUNDUP(IF(EDProj[[#This Row],[Tables Needed]]-EDProj[[#This Row],[Tables Provided by the Vote Center]]&lt;0,0,EDProj[[#This Row],[Tables Needed]]-EDProj[[#This Row],[Tables Provided by the Vote Center]]),0)</f>
        <v>5</v>
      </c>
      <c r="Z34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35" spans="1:26" ht="13.9">
      <c r="A35" s="23" t="s">
        <v>294</v>
      </c>
      <c r="B35" s="24" t="s">
        <v>295</v>
      </c>
      <c r="C35" s="73" t="s">
        <v>329</v>
      </c>
      <c r="D35" s="30" t="s">
        <v>376</v>
      </c>
      <c r="E35" s="31" t="s">
        <v>377</v>
      </c>
      <c r="F35" s="93">
        <v>565</v>
      </c>
      <c r="G35" s="27">
        <v>4</v>
      </c>
      <c r="H35" s="27">
        <v>4</v>
      </c>
      <c r="I35" s="27">
        <v>7</v>
      </c>
      <c r="J35" s="27">
        <v>1</v>
      </c>
      <c r="K35" s="27">
        <v>0</v>
      </c>
      <c r="L35" s="27">
        <v>0</v>
      </c>
      <c r="M35" s="23">
        <f>SUM(EDProj[[#This Row],[★ Hard Case Voting Machines]:[★ Curbside (Rollie) Voting Machine]])</f>
        <v>8</v>
      </c>
      <c r="N35" s="23">
        <v>1</v>
      </c>
      <c r="O35" s="27">
        <v>6</v>
      </c>
      <c r="P35" s="23">
        <v>1</v>
      </c>
      <c r="Q35" s="23">
        <v>1</v>
      </c>
      <c r="R35" s="27">
        <f>EDProj[[#This Row],[★ Judge]]+EDProj[[#This Row],[★ Alt Judge]]+EDProj[[#This Row],[★ Clerks]]</f>
        <v>8</v>
      </c>
      <c r="S35" s="28">
        <v>1000</v>
      </c>
      <c r="T35" s="23">
        <f>EDProj[[#This Row],[★ Ballot Cards]]/250</f>
        <v>4</v>
      </c>
      <c r="U35" s="38">
        <f>EDProj[[#This Row],[★ Soft Case (ADA) Voting Machines]]+EDProj[[#This Row],[Old EPB Allocation]]</f>
        <v>5</v>
      </c>
      <c r="V35" s="38">
        <f>EDProj[[#This Row],[Tables Needed]]</f>
        <v>5</v>
      </c>
      <c r="W35" s="27">
        <v>0</v>
      </c>
      <c r="X35" s="27">
        <v>0</v>
      </c>
      <c r="Y35" s="23">
        <f>ROUNDUP(IF(EDProj[[#This Row],[Tables Needed]]-EDProj[[#This Row],[Tables Provided by the Vote Center]]&lt;0,0,EDProj[[#This Row],[Tables Needed]]-EDProj[[#This Row],[Tables Provided by the Vote Center]]),0)</f>
        <v>5</v>
      </c>
      <c r="Z35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36" spans="1:26" ht="13.9">
      <c r="A36" s="23" t="s">
        <v>113</v>
      </c>
      <c r="B36" s="24" t="s">
        <v>139</v>
      </c>
      <c r="C36" s="73" t="s">
        <v>329</v>
      </c>
      <c r="D36" s="30" t="s">
        <v>138</v>
      </c>
      <c r="E36" s="31" t="s">
        <v>140</v>
      </c>
      <c r="F36" s="93">
        <v>3637</v>
      </c>
      <c r="G36" s="27">
        <v>6.5</v>
      </c>
      <c r="H36" s="27">
        <v>11</v>
      </c>
      <c r="I36" s="27">
        <v>23</v>
      </c>
      <c r="J36" s="27">
        <v>1</v>
      </c>
      <c r="K36" s="27">
        <v>2</v>
      </c>
      <c r="L36" s="27">
        <v>1</v>
      </c>
      <c r="M36" s="23">
        <f>SUM(EDProj[[#This Row],[★ Hard Case Voting Machines]:[★ Curbside (Rollie) Voting Machine]])</f>
        <v>27</v>
      </c>
      <c r="N36" s="23">
        <v>1</v>
      </c>
      <c r="O36" s="27">
        <v>16</v>
      </c>
      <c r="P36" s="23">
        <v>1</v>
      </c>
      <c r="Q36" s="23">
        <v>1</v>
      </c>
      <c r="R36" s="27">
        <f>EDProj[[#This Row],[★ Judge]]+EDProj[[#This Row],[★ Alt Judge]]+EDProj[[#This Row],[★ Clerks]]</f>
        <v>18</v>
      </c>
      <c r="S36" s="28">
        <v>5250</v>
      </c>
      <c r="T36" s="23">
        <f>EDProj[[#This Row],[★ Ballot Cards]]/250</f>
        <v>21</v>
      </c>
      <c r="U36" s="38">
        <f>EDProj[[#This Row],[★ Soft Case (ADA) Voting Machines]]+EDProj[[#This Row],[Old EPB Allocation]]</f>
        <v>7.5</v>
      </c>
      <c r="V36" s="38">
        <f>EDProj[[#This Row],[Tables Needed]]</f>
        <v>7.5</v>
      </c>
      <c r="W36" s="27">
        <v>6</v>
      </c>
      <c r="X36" s="27">
        <v>6</v>
      </c>
      <c r="Y36" s="23">
        <f>ROUNDUP(IF(EDProj[[#This Row],[Tables Needed]]-EDProj[[#This Row],[Tables Provided by the Vote Center]]&lt;0,0,EDProj[[#This Row],[Tables Needed]]-EDProj[[#This Row],[Tables Provided by the Vote Center]]),0)</f>
        <v>2</v>
      </c>
      <c r="Z36" s="23">
        <f>ROUNDUP(IF(EDProj[[#This Row],[Chairs Needed]]-EDProj[[#This Row],[Chairs Provided by the Vote Center]]&lt;0,0,EDProj[[#This Row],[Chairs Needed]]-EDProj[[#This Row],[Chairs Provided by the Vote Center]]),0)</f>
        <v>2</v>
      </c>
    </row>
    <row r="37" spans="1:26" ht="13.9">
      <c r="A37" s="23" t="s">
        <v>294</v>
      </c>
      <c r="B37" s="24" t="s">
        <v>295</v>
      </c>
      <c r="C37" s="73" t="s">
        <v>329</v>
      </c>
      <c r="D37" s="30" t="s">
        <v>378</v>
      </c>
      <c r="E37" s="31" t="s">
        <v>379</v>
      </c>
      <c r="F37" s="93">
        <v>419</v>
      </c>
      <c r="G37" s="27">
        <v>4</v>
      </c>
      <c r="H37" s="27">
        <v>4</v>
      </c>
      <c r="I37" s="27">
        <v>6</v>
      </c>
      <c r="J37" s="27">
        <v>1</v>
      </c>
      <c r="K37" s="27">
        <v>0</v>
      </c>
      <c r="L37" s="27">
        <v>0</v>
      </c>
      <c r="M37" s="23">
        <f>SUM(EDProj[[#This Row],[★ Hard Case Voting Machines]:[★ Curbside (Rollie) Voting Machine]])</f>
        <v>7</v>
      </c>
      <c r="N37" s="23">
        <v>1</v>
      </c>
      <c r="O37" s="27">
        <v>5</v>
      </c>
      <c r="P37" s="23">
        <v>1</v>
      </c>
      <c r="Q37" s="23">
        <v>1</v>
      </c>
      <c r="R37" s="27">
        <f>EDProj[[#This Row],[★ Judge]]+EDProj[[#This Row],[★ Alt Judge]]+EDProj[[#This Row],[★ Clerks]]</f>
        <v>7</v>
      </c>
      <c r="S37" s="28">
        <v>750</v>
      </c>
      <c r="T37" s="23">
        <f>EDProj[[#This Row],[★ Ballot Cards]]/250</f>
        <v>3</v>
      </c>
      <c r="U37" s="38">
        <f>EDProj[[#This Row],[★ Soft Case (ADA) Voting Machines]]+EDProj[[#This Row],[Old EPB Allocation]]</f>
        <v>5</v>
      </c>
      <c r="V37" s="38">
        <f>EDProj[[#This Row],[Tables Needed]]</f>
        <v>5</v>
      </c>
      <c r="W37" s="27">
        <v>0</v>
      </c>
      <c r="X37" s="27">
        <v>0</v>
      </c>
      <c r="Y37" s="23">
        <f>ROUNDUP(IF(EDProj[[#This Row],[Tables Needed]]-EDProj[[#This Row],[Tables Provided by the Vote Center]]&lt;0,0,EDProj[[#This Row],[Tables Needed]]-EDProj[[#This Row],[Tables Provided by the Vote Center]]),0)</f>
        <v>5</v>
      </c>
      <c r="Z37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38" spans="1:26" ht="13.9">
      <c r="A38" s="23" t="s">
        <v>294</v>
      </c>
      <c r="B38" s="24" t="s">
        <v>295</v>
      </c>
      <c r="C38" s="73" t="s">
        <v>329</v>
      </c>
      <c r="D38" s="30" t="s">
        <v>380</v>
      </c>
      <c r="E38" s="31" t="s">
        <v>381</v>
      </c>
      <c r="F38" s="93">
        <v>345</v>
      </c>
      <c r="G38" s="27">
        <v>4</v>
      </c>
      <c r="H38" s="27">
        <v>4</v>
      </c>
      <c r="I38" s="27">
        <v>6</v>
      </c>
      <c r="J38" s="27">
        <v>1</v>
      </c>
      <c r="K38" s="27">
        <v>0</v>
      </c>
      <c r="L38" s="27">
        <v>0</v>
      </c>
      <c r="M38" s="23">
        <f>SUM(EDProj[[#This Row],[★ Hard Case Voting Machines]:[★ Curbside (Rollie) Voting Machine]])</f>
        <v>7</v>
      </c>
      <c r="N38" s="23">
        <v>1</v>
      </c>
      <c r="O38" s="27">
        <v>5</v>
      </c>
      <c r="P38" s="23">
        <v>1</v>
      </c>
      <c r="Q38" s="23">
        <v>1</v>
      </c>
      <c r="R38" s="27">
        <f>EDProj[[#This Row],[★ Judge]]+EDProj[[#This Row],[★ Alt Judge]]+EDProj[[#This Row],[★ Clerks]]</f>
        <v>7</v>
      </c>
      <c r="S38" s="28">
        <v>750</v>
      </c>
      <c r="T38" s="23">
        <f>EDProj[[#This Row],[★ Ballot Cards]]/250</f>
        <v>3</v>
      </c>
      <c r="U38" s="38">
        <f>EDProj[[#This Row],[★ Soft Case (ADA) Voting Machines]]+EDProj[[#This Row],[Old EPB Allocation]]</f>
        <v>5</v>
      </c>
      <c r="V38" s="38">
        <f>EDProj[[#This Row],[Tables Needed]]</f>
        <v>5</v>
      </c>
      <c r="W38" s="27">
        <v>0</v>
      </c>
      <c r="X38" s="27">
        <v>0</v>
      </c>
      <c r="Y38" s="23">
        <f>ROUNDUP(IF(EDProj[[#This Row],[Tables Needed]]-EDProj[[#This Row],[Tables Provided by the Vote Center]]&lt;0,0,EDProj[[#This Row],[Tables Needed]]-EDProj[[#This Row],[Tables Provided by the Vote Center]]),0)</f>
        <v>5</v>
      </c>
      <c r="Z38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39" spans="1:26" ht="13.9">
      <c r="A39" s="23" t="s">
        <v>294</v>
      </c>
      <c r="B39" s="24" t="s">
        <v>295</v>
      </c>
      <c r="C39" s="73" t="s">
        <v>329</v>
      </c>
      <c r="D39" s="30" t="s">
        <v>382</v>
      </c>
      <c r="E39" s="31" t="s">
        <v>383</v>
      </c>
      <c r="F39" s="93">
        <v>203</v>
      </c>
      <c r="G39" s="27">
        <v>4</v>
      </c>
      <c r="H39" s="27">
        <v>4</v>
      </c>
      <c r="I39" s="27">
        <v>3</v>
      </c>
      <c r="J39" s="27">
        <v>1</v>
      </c>
      <c r="K39" s="27">
        <v>0</v>
      </c>
      <c r="L39" s="27">
        <v>0</v>
      </c>
      <c r="M39" s="23">
        <f>SUM(EDProj[[#This Row],[★ Hard Case Voting Machines]:[★ Curbside (Rollie) Voting Machine]])</f>
        <v>4</v>
      </c>
      <c r="N39" s="23">
        <v>1</v>
      </c>
      <c r="O39" s="27">
        <v>4</v>
      </c>
      <c r="P39" s="23">
        <v>1</v>
      </c>
      <c r="Q39" s="23">
        <v>1</v>
      </c>
      <c r="R39" s="27">
        <f>EDProj[[#This Row],[★ Judge]]+EDProj[[#This Row],[★ Alt Judge]]+EDProj[[#This Row],[★ Clerks]]</f>
        <v>6</v>
      </c>
      <c r="S39" s="28">
        <v>500</v>
      </c>
      <c r="T39" s="23">
        <f>EDProj[[#This Row],[★ Ballot Cards]]/250</f>
        <v>2</v>
      </c>
      <c r="U39" s="38">
        <f>EDProj[[#This Row],[★ Soft Case (ADA) Voting Machines]]+EDProj[[#This Row],[Old EPB Allocation]]</f>
        <v>5</v>
      </c>
      <c r="V39" s="38">
        <f>EDProj[[#This Row],[Tables Needed]]</f>
        <v>5</v>
      </c>
      <c r="W39" s="27">
        <v>2</v>
      </c>
      <c r="X39" s="27">
        <v>4</v>
      </c>
      <c r="Y39" s="23">
        <f>ROUNDUP(IF(EDProj[[#This Row],[Tables Needed]]-EDProj[[#This Row],[Tables Provided by the Vote Center]]&lt;0,0,EDProj[[#This Row],[Tables Needed]]-EDProj[[#This Row],[Tables Provided by the Vote Center]]),0)</f>
        <v>3</v>
      </c>
      <c r="Z39" s="23">
        <f>ROUNDUP(IF(EDProj[[#This Row],[Chairs Needed]]-EDProj[[#This Row],[Chairs Provided by the Vote Center]]&lt;0,0,EDProj[[#This Row],[Chairs Needed]]-EDProj[[#This Row],[Chairs Provided by the Vote Center]]),0)</f>
        <v>1</v>
      </c>
    </row>
    <row r="40" spans="1:26" ht="13.9">
      <c r="A40" s="23" t="s">
        <v>294</v>
      </c>
      <c r="B40" s="24" t="s">
        <v>295</v>
      </c>
      <c r="C40" s="73" t="s">
        <v>329</v>
      </c>
      <c r="D40" s="30" t="s">
        <v>384</v>
      </c>
      <c r="E40" s="31" t="s">
        <v>385</v>
      </c>
      <c r="F40" s="93">
        <v>319</v>
      </c>
      <c r="G40" s="27">
        <v>4</v>
      </c>
      <c r="H40" s="27">
        <v>4</v>
      </c>
      <c r="I40" s="27">
        <v>5</v>
      </c>
      <c r="J40" s="27">
        <v>1</v>
      </c>
      <c r="K40" s="27">
        <v>0</v>
      </c>
      <c r="L40" s="27">
        <v>0</v>
      </c>
      <c r="M40" s="23">
        <f>SUM(EDProj[[#This Row],[★ Hard Case Voting Machines]:[★ Curbside (Rollie) Voting Machine]])</f>
        <v>6</v>
      </c>
      <c r="N40" s="23">
        <v>1</v>
      </c>
      <c r="O40" s="27">
        <v>5</v>
      </c>
      <c r="P40" s="27">
        <v>1</v>
      </c>
      <c r="Q40" s="23">
        <v>1</v>
      </c>
      <c r="R40" s="27">
        <f>EDProj[[#This Row],[★ Judge]]+EDProj[[#This Row],[★ Alt Judge]]+EDProj[[#This Row],[★ Clerks]]</f>
        <v>7</v>
      </c>
      <c r="S40" s="28">
        <v>750</v>
      </c>
      <c r="T40" s="23">
        <f>EDProj[[#This Row],[★ Ballot Cards]]/250</f>
        <v>3</v>
      </c>
      <c r="U40" s="38">
        <f>EDProj[[#This Row],[★ Soft Case (ADA) Voting Machines]]+EDProj[[#This Row],[Old EPB Allocation]]</f>
        <v>5</v>
      </c>
      <c r="V40" s="38">
        <f>EDProj[[#This Row],[Tables Needed]]</f>
        <v>5</v>
      </c>
      <c r="W40" s="27">
        <v>50</v>
      </c>
      <c r="X40" s="27">
        <v>100</v>
      </c>
      <c r="Y40" s="23">
        <f>ROUNDUP(IF(EDProj[[#This Row],[Tables Needed]]-EDProj[[#This Row],[Tables Provided by the Vote Center]]&lt;0,0,EDProj[[#This Row],[Tables Needed]]-EDProj[[#This Row],[Tables Provided by the Vote Center]]),0)</f>
        <v>0</v>
      </c>
      <c r="Z40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41" spans="1:26" ht="13.9">
      <c r="A41" s="23" t="s">
        <v>294</v>
      </c>
      <c r="B41" s="24" t="s">
        <v>295</v>
      </c>
      <c r="C41" s="73" t="s">
        <v>329</v>
      </c>
      <c r="D41" s="30" t="s">
        <v>386</v>
      </c>
      <c r="E41" s="31" t="s">
        <v>387</v>
      </c>
      <c r="F41" s="93">
        <v>381</v>
      </c>
      <c r="G41" s="27">
        <v>4</v>
      </c>
      <c r="H41" s="27">
        <v>4</v>
      </c>
      <c r="I41" s="27">
        <v>7</v>
      </c>
      <c r="J41" s="27">
        <v>1</v>
      </c>
      <c r="K41" s="27">
        <v>0</v>
      </c>
      <c r="L41" s="27">
        <v>0</v>
      </c>
      <c r="M41" s="23">
        <f>SUM(EDProj[[#This Row],[★ Hard Case Voting Machines]:[★ Curbside (Rollie) Voting Machine]])</f>
        <v>8</v>
      </c>
      <c r="N41" s="23">
        <v>1</v>
      </c>
      <c r="O41" s="27">
        <v>5</v>
      </c>
      <c r="P41" s="23">
        <v>1</v>
      </c>
      <c r="Q41" s="23">
        <v>1</v>
      </c>
      <c r="R41" s="27">
        <f>EDProj[[#This Row],[★ Judge]]+EDProj[[#This Row],[★ Alt Judge]]+EDProj[[#This Row],[★ Clerks]]</f>
        <v>7</v>
      </c>
      <c r="S41" s="28">
        <v>750</v>
      </c>
      <c r="T41" s="23">
        <f>EDProj[[#This Row],[★ Ballot Cards]]/250</f>
        <v>3</v>
      </c>
      <c r="U41" s="38">
        <f>EDProj[[#This Row],[★ Soft Case (ADA) Voting Machines]]+EDProj[[#This Row],[Old EPB Allocation]]</f>
        <v>5</v>
      </c>
      <c r="V41" s="38">
        <f>EDProj[[#This Row],[Tables Needed]]</f>
        <v>5</v>
      </c>
      <c r="W41" s="27">
        <v>0</v>
      </c>
      <c r="X41" s="27">
        <v>0</v>
      </c>
      <c r="Y41" s="23">
        <f>ROUNDUP(IF(EDProj[[#This Row],[Tables Needed]]-EDProj[[#This Row],[Tables Provided by the Vote Center]]&lt;0,0,EDProj[[#This Row],[Tables Needed]]-EDProj[[#This Row],[Tables Provided by the Vote Center]]),0)</f>
        <v>5</v>
      </c>
      <c r="Z41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42" spans="1:26" ht="13.9">
      <c r="A42" s="23" t="s">
        <v>294</v>
      </c>
      <c r="B42" s="24" t="s">
        <v>295</v>
      </c>
      <c r="C42" s="73" t="s">
        <v>329</v>
      </c>
      <c r="D42" s="30" t="s">
        <v>388</v>
      </c>
      <c r="E42" s="31" t="s">
        <v>389</v>
      </c>
      <c r="F42" s="93">
        <v>348</v>
      </c>
      <c r="G42" s="27">
        <v>4</v>
      </c>
      <c r="H42" s="27">
        <v>4</v>
      </c>
      <c r="I42" s="27">
        <v>5</v>
      </c>
      <c r="J42" s="27">
        <v>1</v>
      </c>
      <c r="K42" s="27">
        <v>0</v>
      </c>
      <c r="L42" s="27">
        <v>0</v>
      </c>
      <c r="M42" s="23">
        <f>SUM(EDProj[[#This Row],[★ Hard Case Voting Machines]:[★ Curbside (Rollie) Voting Machine]])</f>
        <v>6</v>
      </c>
      <c r="N42" s="23">
        <v>1</v>
      </c>
      <c r="O42" s="27">
        <v>5</v>
      </c>
      <c r="P42" s="27">
        <v>1</v>
      </c>
      <c r="Q42" s="23">
        <v>1</v>
      </c>
      <c r="R42" s="27">
        <f>EDProj[[#This Row],[★ Judge]]+EDProj[[#This Row],[★ Alt Judge]]+EDProj[[#This Row],[★ Clerks]]</f>
        <v>7</v>
      </c>
      <c r="S42" s="28">
        <v>750</v>
      </c>
      <c r="T42" s="23">
        <f>EDProj[[#This Row],[★ Ballot Cards]]/250</f>
        <v>3</v>
      </c>
      <c r="U42" s="38">
        <f>EDProj[[#This Row],[★ Soft Case (ADA) Voting Machines]]+EDProj[[#This Row],[Old EPB Allocation]]</f>
        <v>5</v>
      </c>
      <c r="V42" s="38">
        <f>EDProj[[#This Row],[Tables Needed]]</f>
        <v>5</v>
      </c>
      <c r="W42" s="27">
        <v>0</v>
      </c>
      <c r="X42" s="27">
        <v>0</v>
      </c>
      <c r="Y42" s="23">
        <f>ROUNDUP(IF(EDProj[[#This Row],[Tables Needed]]-EDProj[[#This Row],[Tables Provided by the Vote Center]]&lt;0,0,EDProj[[#This Row],[Tables Needed]]-EDProj[[#This Row],[Tables Provided by the Vote Center]]),0)</f>
        <v>5</v>
      </c>
      <c r="Z42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43" spans="1:26" ht="13.9">
      <c r="A43" s="23" t="s">
        <v>113</v>
      </c>
      <c r="B43" s="24" t="s">
        <v>157</v>
      </c>
      <c r="C43" s="73" t="s">
        <v>390</v>
      </c>
      <c r="D43" s="30" t="s">
        <v>156</v>
      </c>
      <c r="E43" s="31" t="s">
        <v>158</v>
      </c>
      <c r="F43" s="93">
        <v>305</v>
      </c>
      <c r="G43" s="27">
        <v>5</v>
      </c>
      <c r="H43" s="27">
        <v>6</v>
      </c>
      <c r="I43" s="27">
        <v>18</v>
      </c>
      <c r="J43" s="27">
        <v>1</v>
      </c>
      <c r="K43" s="27">
        <v>1</v>
      </c>
      <c r="L43" s="27">
        <v>1</v>
      </c>
      <c r="M43" s="23">
        <f>SUM(EDProj[[#This Row],[★ Hard Case Voting Machines]:[★ Curbside (Rollie) Voting Machine]])</f>
        <v>21</v>
      </c>
      <c r="N43" s="23">
        <v>1</v>
      </c>
      <c r="O43" s="27">
        <v>10</v>
      </c>
      <c r="P43" s="27">
        <v>1</v>
      </c>
      <c r="Q43" s="23">
        <v>1</v>
      </c>
      <c r="R43" s="27">
        <f>EDProj[[#This Row],[★ Judge]]+EDProj[[#This Row],[★ Alt Judge]]+EDProj[[#This Row],[★ Clerks]]</f>
        <v>12</v>
      </c>
      <c r="S43" s="28">
        <v>500</v>
      </c>
      <c r="T43" s="23">
        <f>EDProj[[#This Row],[★ Ballot Cards]]/250</f>
        <v>2</v>
      </c>
      <c r="U43" s="38">
        <f>EDProj[[#This Row],[★ Soft Case (ADA) Voting Machines]]+EDProj[[#This Row],[Old EPB Allocation]]</f>
        <v>6</v>
      </c>
      <c r="V43" s="38">
        <f>EDProj[[#This Row],[Tables Needed]]</f>
        <v>6</v>
      </c>
      <c r="W43" s="27">
        <v>6</v>
      </c>
      <c r="X43" s="27">
        <v>100</v>
      </c>
      <c r="Y43" s="23">
        <f>ROUNDUP(IF(EDProj[[#This Row],[Tables Needed]]-EDProj[[#This Row],[Tables Provided by the Vote Center]]&lt;0,0,EDProj[[#This Row],[Tables Needed]]-EDProj[[#This Row],[Tables Provided by the Vote Center]]),0)</f>
        <v>0</v>
      </c>
      <c r="Z43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44" spans="1:26" ht="13.9">
      <c r="A44" s="23" t="s">
        <v>294</v>
      </c>
      <c r="B44" s="24" t="s">
        <v>295</v>
      </c>
      <c r="C44" s="73" t="s">
        <v>390</v>
      </c>
      <c r="D44" s="30" t="s">
        <v>391</v>
      </c>
      <c r="E44" s="31" t="s">
        <v>392</v>
      </c>
      <c r="F44" s="93">
        <v>274</v>
      </c>
      <c r="G44" s="27">
        <v>4</v>
      </c>
      <c r="H44" s="27">
        <v>4</v>
      </c>
      <c r="I44" s="27">
        <v>4</v>
      </c>
      <c r="J44" s="27">
        <v>1</v>
      </c>
      <c r="K44" s="27">
        <v>0</v>
      </c>
      <c r="L44" s="27">
        <v>0</v>
      </c>
      <c r="M44" s="23">
        <f>SUM(EDProj[[#This Row],[★ Hard Case Voting Machines]:[★ Curbside (Rollie) Voting Machine]])</f>
        <v>5</v>
      </c>
      <c r="N44" s="23">
        <v>1</v>
      </c>
      <c r="O44" s="27">
        <v>5</v>
      </c>
      <c r="P44" s="27">
        <v>1</v>
      </c>
      <c r="Q44" s="23">
        <v>1</v>
      </c>
      <c r="R44" s="27">
        <f>EDProj[[#This Row],[★ Judge]]+EDProj[[#This Row],[★ Alt Judge]]+EDProj[[#This Row],[★ Clerks]]</f>
        <v>7</v>
      </c>
      <c r="S44" s="28">
        <v>500</v>
      </c>
      <c r="T44" s="23">
        <f>EDProj[[#This Row],[★ Ballot Cards]]/250</f>
        <v>2</v>
      </c>
      <c r="U44" s="38">
        <f>EDProj[[#This Row],[★ Soft Case (ADA) Voting Machines]]+EDProj[[#This Row],[Old EPB Allocation]]</f>
        <v>5</v>
      </c>
      <c r="V44" s="38">
        <f>EDProj[[#This Row],[Tables Needed]]</f>
        <v>5</v>
      </c>
      <c r="W44" s="27">
        <v>4</v>
      </c>
      <c r="X44" s="27">
        <v>10</v>
      </c>
      <c r="Y44" s="23">
        <f>ROUNDUP(IF(EDProj[[#This Row],[Tables Needed]]-EDProj[[#This Row],[Tables Provided by the Vote Center]]&lt;0,0,EDProj[[#This Row],[Tables Needed]]-EDProj[[#This Row],[Tables Provided by the Vote Center]]),0)</f>
        <v>1</v>
      </c>
      <c r="Z44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45" spans="1:26" ht="13.9">
      <c r="A45" s="23" t="s">
        <v>294</v>
      </c>
      <c r="B45" s="24" t="s">
        <v>295</v>
      </c>
      <c r="C45" s="73" t="s">
        <v>390</v>
      </c>
      <c r="D45" s="25" t="s">
        <v>393</v>
      </c>
      <c r="E45" s="26" t="s">
        <v>394</v>
      </c>
      <c r="F45" s="92">
        <v>177</v>
      </c>
      <c r="G45" s="27">
        <v>4</v>
      </c>
      <c r="H45" s="27">
        <v>4</v>
      </c>
      <c r="I45" s="27">
        <v>2</v>
      </c>
      <c r="J45" s="27">
        <v>1</v>
      </c>
      <c r="K45" s="27">
        <v>0</v>
      </c>
      <c r="L45" s="27">
        <v>0</v>
      </c>
      <c r="M45" s="23">
        <f>SUM(EDProj[[#This Row],[★ Hard Case Voting Machines]:[★ Curbside (Rollie) Voting Machine]])</f>
        <v>3</v>
      </c>
      <c r="N45" s="23">
        <v>1</v>
      </c>
      <c r="O45" s="27">
        <v>4</v>
      </c>
      <c r="P45" s="27">
        <v>1</v>
      </c>
      <c r="Q45" s="23">
        <v>1</v>
      </c>
      <c r="R45" s="27">
        <f>EDProj[[#This Row],[★ Judge]]+EDProj[[#This Row],[★ Alt Judge]]+EDProj[[#This Row],[★ Clerks]]</f>
        <v>6</v>
      </c>
      <c r="S45" s="28">
        <v>500</v>
      </c>
      <c r="T45" s="23">
        <f>EDProj[[#This Row],[★ Ballot Cards]]/250</f>
        <v>2</v>
      </c>
      <c r="U45" s="38">
        <f>EDProj[[#This Row],[★ Soft Case (ADA) Voting Machines]]+EDProj[[#This Row],[Old EPB Allocation]]</f>
        <v>5</v>
      </c>
      <c r="V45" s="38">
        <f>EDProj[[#This Row],[Tables Needed]]</f>
        <v>5</v>
      </c>
      <c r="W45" s="27">
        <v>0</v>
      </c>
      <c r="X45" s="27">
        <v>0</v>
      </c>
      <c r="Y45" s="23">
        <f>ROUNDUP(IF(EDProj[[#This Row],[Tables Needed]]-EDProj[[#This Row],[Tables Provided by the Vote Center]]&lt;0,0,EDProj[[#This Row],[Tables Needed]]-EDProj[[#This Row],[Tables Provided by the Vote Center]]),0)</f>
        <v>5</v>
      </c>
      <c r="Z45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46" spans="1:26" ht="13.9">
      <c r="A46" s="23" t="s">
        <v>294</v>
      </c>
      <c r="B46" s="24" t="s">
        <v>295</v>
      </c>
      <c r="C46" s="73" t="s">
        <v>390</v>
      </c>
      <c r="D46" s="78" t="s">
        <v>71</v>
      </c>
      <c r="E46" s="79" t="s">
        <v>72</v>
      </c>
      <c r="F46" s="95">
        <v>329</v>
      </c>
      <c r="G46" s="38">
        <v>4</v>
      </c>
      <c r="H46" s="38">
        <v>4</v>
      </c>
      <c r="I46" s="38">
        <v>2</v>
      </c>
      <c r="J46" s="38">
        <v>1</v>
      </c>
      <c r="K46" s="38">
        <v>0</v>
      </c>
      <c r="L46" s="27">
        <v>3</v>
      </c>
      <c r="M46" s="80">
        <f>SUM(EDProj[[#This Row],[★ Hard Case Voting Machines]:[★ Curbside (Rollie) Voting Machine]])</f>
        <v>6</v>
      </c>
      <c r="N46" s="80">
        <v>1</v>
      </c>
      <c r="O46" s="27">
        <v>5</v>
      </c>
      <c r="P46" s="27">
        <v>1</v>
      </c>
      <c r="Q46" s="23">
        <v>1</v>
      </c>
      <c r="R46" s="27">
        <f>EDProj[[#This Row],[★ Judge]]+EDProj[[#This Row],[★ Alt Judge]]+EDProj[[#This Row],[★ Clerks]]</f>
        <v>7</v>
      </c>
      <c r="S46" s="28">
        <v>750</v>
      </c>
      <c r="T46" s="23">
        <f>EDProj[[#This Row],[★ Ballot Cards]]/250</f>
        <v>3</v>
      </c>
      <c r="U46" s="38">
        <f>EDProj[[#This Row],[★ Soft Case (ADA) Voting Machines]]+EDProj[[#This Row],[Old EPB Allocation]]</f>
        <v>5</v>
      </c>
      <c r="V46" s="38">
        <f>EDProj[[#This Row],[Tables Needed]]</f>
        <v>5</v>
      </c>
      <c r="W46" s="27">
        <v>0</v>
      </c>
      <c r="X46" s="27">
        <v>0</v>
      </c>
      <c r="Y46" s="23">
        <f>ROUNDUP(IF(EDProj[[#This Row],[Tables Needed]]-EDProj[[#This Row],[Tables Provided by the Vote Center]]&lt;0,0,EDProj[[#This Row],[Tables Needed]]-EDProj[[#This Row],[Tables Provided by the Vote Center]]),0)</f>
        <v>5</v>
      </c>
      <c r="Z46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47" spans="1:26" ht="13.9">
      <c r="A47" s="23" t="s">
        <v>294</v>
      </c>
      <c r="B47" s="24" t="s">
        <v>295</v>
      </c>
      <c r="C47" s="73" t="s">
        <v>390</v>
      </c>
      <c r="D47" s="25" t="s">
        <v>395</v>
      </c>
      <c r="E47" s="26" t="s">
        <v>396</v>
      </c>
      <c r="F47" s="92">
        <v>234</v>
      </c>
      <c r="G47" s="27">
        <v>4</v>
      </c>
      <c r="H47" s="27">
        <v>4</v>
      </c>
      <c r="I47" s="27">
        <v>2</v>
      </c>
      <c r="J47" s="27">
        <v>1</v>
      </c>
      <c r="K47" s="27">
        <v>0</v>
      </c>
      <c r="L47" s="27">
        <v>0</v>
      </c>
      <c r="M47" s="23">
        <f>SUM(EDProj[[#This Row],[★ Hard Case Voting Machines]:[★ Curbside (Rollie) Voting Machine]])</f>
        <v>3</v>
      </c>
      <c r="N47" s="23">
        <v>1</v>
      </c>
      <c r="O47" s="27">
        <v>5</v>
      </c>
      <c r="P47" s="27">
        <v>1</v>
      </c>
      <c r="Q47" s="23">
        <v>1</v>
      </c>
      <c r="R47" s="27">
        <f>EDProj[[#This Row],[★ Judge]]+EDProj[[#This Row],[★ Alt Judge]]+EDProj[[#This Row],[★ Clerks]]</f>
        <v>7</v>
      </c>
      <c r="S47" s="28">
        <v>500</v>
      </c>
      <c r="T47" s="23">
        <f>EDProj[[#This Row],[★ Ballot Cards]]/250</f>
        <v>2</v>
      </c>
      <c r="U47" s="38">
        <f>EDProj[[#This Row],[★ Soft Case (ADA) Voting Machines]]+EDProj[[#This Row],[Old EPB Allocation]]</f>
        <v>5</v>
      </c>
      <c r="V47" s="38">
        <f>EDProj[[#This Row],[Tables Needed]]</f>
        <v>5</v>
      </c>
      <c r="W47" s="27">
        <v>0</v>
      </c>
      <c r="X47" s="27">
        <v>0</v>
      </c>
      <c r="Y47" s="23">
        <f>ROUNDUP(IF(EDProj[[#This Row],[Tables Needed]]-EDProj[[#This Row],[Tables Provided by the Vote Center]]&lt;0,0,EDProj[[#This Row],[Tables Needed]]-EDProj[[#This Row],[Tables Provided by the Vote Center]]),0)</f>
        <v>5</v>
      </c>
      <c r="Z47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48" spans="1:26" ht="13.9">
      <c r="A48" s="23" t="s">
        <v>294</v>
      </c>
      <c r="B48" s="24" t="s">
        <v>295</v>
      </c>
      <c r="C48" s="73" t="s">
        <v>390</v>
      </c>
      <c r="D48" s="25" t="s">
        <v>397</v>
      </c>
      <c r="E48" s="26" t="s">
        <v>398</v>
      </c>
      <c r="F48" s="92">
        <v>317</v>
      </c>
      <c r="G48" s="27">
        <v>4</v>
      </c>
      <c r="H48" s="27">
        <v>4</v>
      </c>
      <c r="I48" s="27">
        <v>2</v>
      </c>
      <c r="J48" s="27">
        <v>1</v>
      </c>
      <c r="K48" s="27">
        <v>0</v>
      </c>
      <c r="L48" s="27">
        <v>0</v>
      </c>
      <c r="M48" s="23">
        <f>SUM(EDProj[[#This Row],[★ Hard Case Voting Machines]:[★ Curbside (Rollie) Voting Machine]])</f>
        <v>3</v>
      </c>
      <c r="N48" s="23">
        <v>1</v>
      </c>
      <c r="O48" s="27">
        <v>5</v>
      </c>
      <c r="P48" s="27">
        <v>1</v>
      </c>
      <c r="Q48" s="23">
        <v>1</v>
      </c>
      <c r="R48" s="27">
        <f>EDProj[[#This Row],[★ Judge]]+EDProj[[#This Row],[★ Alt Judge]]+EDProj[[#This Row],[★ Clerks]]</f>
        <v>7</v>
      </c>
      <c r="S48" s="28">
        <v>750</v>
      </c>
      <c r="T48" s="23">
        <f>EDProj[[#This Row],[★ Ballot Cards]]/250</f>
        <v>3</v>
      </c>
      <c r="U48" s="38">
        <f>EDProj[[#This Row],[★ Soft Case (ADA) Voting Machines]]+EDProj[[#This Row],[Old EPB Allocation]]</f>
        <v>5</v>
      </c>
      <c r="V48" s="38">
        <f>EDProj[[#This Row],[Tables Needed]]</f>
        <v>5</v>
      </c>
      <c r="W48" s="27">
        <v>0</v>
      </c>
      <c r="X48" s="27">
        <v>0</v>
      </c>
      <c r="Y48" s="23">
        <f>ROUNDUP(IF(EDProj[[#This Row],[Tables Needed]]-EDProj[[#This Row],[Tables Provided by the Vote Center]]&lt;0,0,EDProj[[#This Row],[Tables Needed]]-EDProj[[#This Row],[Tables Provided by the Vote Center]]),0)</f>
        <v>5</v>
      </c>
      <c r="Z48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49" spans="1:26" ht="13.9">
      <c r="A49" s="23" t="s">
        <v>294</v>
      </c>
      <c r="B49" s="24" t="s">
        <v>295</v>
      </c>
      <c r="C49" s="73" t="s">
        <v>390</v>
      </c>
      <c r="D49" s="25" t="s">
        <v>399</v>
      </c>
      <c r="E49" s="26" t="s">
        <v>400</v>
      </c>
      <c r="F49" s="92">
        <v>186</v>
      </c>
      <c r="G49" s="27">
        <v>4</v>
      </c>
      <c r="H49" s="27">
        <v>4</v>
      </c>
      <c r="I49" s="27">
        <v>3</v>
      </c>
      <c r="J49" s="27">
        <v>1</v>
      </c>
      <c r="K49" s="27">
        <v>0</v>
      </c>
      <c r="L49" s="27">
        <v>0</v>
      </c>
      <c r="M49" s="23">
        <f>SUM(EDProj[[#This Row],[★ Hard Case Voting Machines]:[★ Curbside (Rollie) Voting Machine]])</f>
        <v>4</v>
      </c>
      <c r="N49" s="23">
        <v>1</v>
      </c>
      <c r="O49" s="27">
        <v>4</v>
      </c>
      <c r="P49" s="27">
        <v>1</v>
      </c>
      <c r="Q49" s="23">
        <v>1</v>
      </c>
      <c r="R49" s="27">
        <f>EDProj[[#This Row],[★ Judge]]+EDProj[[#This Row],[★ Alt Judge]]+EDProj[[#This Row],[★ Clerks]]</f>
        <v>6</v>
      </c>
      <c r="S49" s="28">
        <v>500</v>
      </c>
      <c r="T49" s="23">
        <f>EDProj[[#This Row],[★ Ballot Cards]]/250</f>
        <v>2</v>
      </c>
      <c r="U49" s="38">
        <f>EDProj[[#This Row],[★ Soft Case (ADA) Voting Machines]]+EDProj[[#This Row],[Old EPB Allocation]]</f>
        <v>5</v>
      </c>
      <c r="V49" s="38">
        <f>EDProj[[#This Row],[Tables Needed]]</f>
        <v>5</v>
      </c>
      <c r="W49" s="27">
        <v>0</v>
      </c>
      <c r="X49" s="27">
        <v>0</v>
      </c>
      <c r="Y49" s="23">
        <f>ROUNDUP(IF(EDProj[[#This Row],[Tables Needed]]-EDProj[[#This Row],[Tables Provided by the Vote Center]]&lt;0,0,EDProj[[#This Row],[Tables Needed]]-EDProj[[#This Row],[Tables Provided by the Vote Center]]),0)</f>
        <v>5</v>
      </c>
      <c r="Z49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50" spans="1:26" ht="13.9">
      <c r="A50" s="23" t="s">
        <v>294</v>
      </c>
      <c r="B50" s="24" t="s">
        <v>295</v>
      </c>
      <c r="C50" s="73" t="s">
        <v>390</v>
      </c>
      <c r="D50" s="25" t="s">
        <v>401</v>
      </c>
      <c r="E50" s="26" t="s">
        <v>402</v>
      </c>
      <c r="F50" s="92">
        <v>355</v>
      </c>
      <c r="G50" s="27">
        <v>4</v>
      </c>
      <c r="H50" s="27">
        <v>4</v>
      </c>
      <c r="I50" s="27">
        <v>5</v>
      </c>
      <c r="J50" s="27">
        <v>1</v>
      </c>
      <c r="K50" s="27">
        <v>0</v>
      </c>
      <c r="L50" s="27">
        <v>0</v>
      </c>
      <c r="M50" s="23">
        <f>SUM(EDProj[[#This Row],[★ Hard Case Voting Machines]:[★ Curbside (Rollie) Voting Machine]])</f>
        <v>6</v>
      </c>
      <c r="N50" s="23">
        <v>1</v>
      </c>
      <c r="O50" s="27">
        <v>6</v>
      </c>
      <c r="P50" s="27">
        <v>1</v>
      </c>
      <c r="Q50" s="23">
        <v>1</v>
      </c>
      <c r="R50" s="27">
        <f>EDProj[[#This Row],[★ Judge]]+EDProj[[#This Row],[★ Alt Judge]]+EDProj[[#This Row],[★ Clerks]]</f>
        <v>8</v>
      </c>
      <c r="S50" s="28">
        <v>750</v>
      </c>
      <c r="T50" s="23">
        <f>EDProj[[#This Row],[★ Ballot Cards]]/250</f>
        <v>3</v>
      </c>
      <c r="U50" s="38">
        <f>EDProj[[#This Row],[★ Soft Case (ADA) Voting Machines]]+EDProj[[#This Row],[Old EPB Allocation]]</f>
        <v>5</v>
      </c>
      <c r="V50" s="38">
        <f>EDProj[[#This Row],[Tables Needed]]</f>
        <v>5</v>
      </c>
      <c r="W50" s="27">
        <v>7</v>
      </c>
      <c r="X50" s="27">
        <v>60</v>
      </c>
      <c r="Y50" s="23">
        <f>ROUNDUP(IF(EDProj[[#This Row],[Tables Needed]]-EDProj[[#This Row],[Tables Provided by the Vote Center]]&lt;0,0,EDProj[[#This Row],[Tables Needed]]-EDProj[[#This Row],[Tables Provided by the Vote Center]]),0)</f>
        <v>0</v>
      </c>
      <c r="Z50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51" spans="1:26" ht="13.9">
      <c r="A51" s="23" t="s">
        <v>294</v>
      </c>
      <c r="B51" s="24" t="s">
        <v>295</v>
      </c>
      <c r="C51" s="73" t="s">
        <v>390</v>
      </c>
      <c r="D51" s="25" t="s">
        <v>403</v>
      </c>
      <c r="E51" s="26" t="s">
        <v>404</v>
      </c>
      <c r="F51" s="92">
        <v>677</v>
      </c>
      <c r="G51" s="27">
        <v>4</v>
      </c>
      <c r="H51" s="27">
        <v>4</v>
      </c>
      <c r="I51" s="27">
        <v>9</v>
      </c>
      <c r="J51" s="27">
        <v>1</v>
      </c>
      <c r="K51" s="27">
        <v>0</v>
      </c>
      <c r="L51" s="27">
        <v>0</v>
      </c>
      <c r="M51" s="23">
        <f>SUM(EDProj[[#This Row],[★ Hard Case Voting Machines]:[★ Curbside (Rollie) Voting Machine]])</f>
        <v>10</v>
      </c>
      <c r="N51" s="23">
        <v>1</v>
      </c>
      <c r="O51" s="27">
        <v>6</v>
      </c>
      <c r="P51" s="27">
        <v>1</v>
      </c>
      <c r="Q51" s="23">
        <v>1</v>
      </c>
      <c r="R51" s="27">
        <f>EDProj[[#This Row],[★ Judge]]+EDProj[[#This Row],[★ Alt Judge]]+EDProj[[#This Row],[★ Clerks]]</f>
        <v>8</v>
      </c>
      <c r="S51" s="28">
        <v>1250</v>
      </c>
      <c r="T51" s="23">
        <f>EDProj[[#This Row],[★ Ballot Cards]]/250</f>
        <v>5</v>
      </c>
      <c r="U51" s="38">
        <f>EDProj[[#This Row],[★ Soft Case (ADA) Voting Machines]]+EDProj[[#This Row],[Old EPB Allocation]]</f>
        <v>5</v>
      </c>
      <c r="V51" s="38">
        <f>EDProj[[#This Row],[Tables Needed]]</f>
        <v>5</v>
      </c>
      <c r="W51" s="27">
        <v>0</v>
      </c>
      <c r="X51" s="27">
        <v>0</v>
      </c>
      <c r="Y51" s="23">
        <f>ROUNDUP(IF(EDProj[[#This Row],[Tables Needed]]-EDProj[[#This Row],[Tables Provided by the Vote Center]]&lt;0,0,EDProj[[#This Row],[Tables Needed]]-EDProj[[#This Row],[Tables Provided by the Vote Center]]),0)</f>
        <v>5</v>
      </c>
      <c r="Z51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52" spans="1:26" ht="13.9">
      <c r="A52" s="23" t="s">
        <v>294</v>
      </c>
      <c r="B52" s="24" t="s">
        <v>295</v>
      </c>
      <c r="C52" s="73" t="s">
        <v>390</v>
      </c>
      <c r="D52" s="25" t="s">
        <v>405</v>
      </c>
      <c r="E52" s="26" t="s">
        <v>406</v>
      </c>
      <c r="F52" s="92">
        <v>362</v>
      </c>
      <c r="G52" s="27">
        <v>4</v>
      </c>
      <c r="H52" s="27">
        <v>4</v>
      </c>
      <c r="I52" s="27">
        <v>5</v>
      </c>
      <c r="J52" s="27">
        <v>1</v>
      </c>
      <c r="K52" s="27">
        <v>0</v>
      </c>
      <c r="L52" s="27">
        <v>0</v>
      </c>
      <c r="M52" s="23">
        <f>SUM(EDProj[[#This Row],[★ Hard Case Voting Machines]:[★ Curbside (Rollie) Voting Machine]])</f>
        <v>6</v>
      </c>
      <c r="N52" s="23">
        <v>1</v>
      </c>
      <c r="O52" s="27">
        <v>5</v>
      </c>
      <c r="P52" s="27">
        <v>1</v>
      </c>
      <c r="Q52" s="23">
        <v>1</v>
      </c>
      <c r="R52" s="27">
        <f>EDProj[[#This Row],[★ Judge]]+EDProj[[#This Row],[★ Alt Judge]]+EDProj[[#This Row],[★ Clerks]]</f>
        <v>7</v>
      </c>
      <c r="S52" s="28">
        <v>750</v>
      </c>
      <c r="T52" s="23">
        <f>EDProj[[#This Row],[★ Ballot Cards]]/250</f>
        <v>3</v>
      </c>
      <c r="U52" s="38">
        <f>EDProj[[#This Row],[★ Soft Case (ADA) Voting Machines]]+EDProj[[#This Row],[Old EPB Allocation]]</f>
        <v>5</v>
      </c>
      <c r="V52" s="38">
        <f>EDProj[[#This Row],[Tables Needed]]</f>
        <v>5</v>
      </c>
      <c r="W52" s="27">
        <v>0</v>
      </c>
      <c r="X52" s="27">
        <v>0</v>
      </c>
      <c r="Y52" s="23">
        <f>ROUNDUP(IF(EDProj[[#This Row],[Tables Needed]]-EDProj[[#This Row],[Tables Provided by the Vote Center]]&lt;0,0,EDProj[[#This Row],[Tables Needed]]-EDProj[[#This Row],[Tables Provided by the Vote Center]]),0)</f>
        <v>5</v>
      </c>
      <c r="Z52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53" spans="1:26" ht="13.9">
      <c r="A53" s="23" t="s">
        <v>294</v>
      </c>
      <c r="B53" s="24" t="s">
        <v>295</v>
      </c>
      <c r="C53" s="73" t="s">
        <v>390</v>
      </c>
      <c r="D53" s="25" t="s">
        <v>407</v>
      </c>
      <c r="E53" s="26" t="s">
        <v>408</v>
      </c>
      <c r="F53" s="92">
        <v>551</v>
      </c>
      <c r="G53" s="27">
        <v>4</v>
      </c>
      <c r="H53" s="27">
        <v>4</v>
      </c>
      <c r="I53" s="27">
        <v>7</v>
      </c>
      <c r="J53" s="27">
        <v>1</v>
      </c>
      <c r="K53" s="27">
        <v>0</v>
      </c>
      <c r="L53" s="27">
        <v>0</v>
      </c>
      <c r="M53" s="23">
        <f>SUM(EDProj[[#This Row],[★ Hard Case Voting Machines]:[★ Curbside (Rollie) Voting Machine]])</f>
        <v>8</v>
      </c>
      <c r="N53" s="23">
        <v>1</v>
      </c>
      <c r="O53" s="27">
        <v>6</v>
      </c>
      <c r="P53" s="27">
        <v>1</v>
      </c>
      <c r="Q53" s="23">
        <v>1</v>
      </c>
      <c r="R53" s="27">
        <f>EDProj[[#This Row],[★ Judge]]+EDProj[[#This Row],[★ Alt Judge]]+EDProj[[#This Row],[★ Clerks]]</f>
        <v>8</v>
      </c>
      <c r="S53" s="28">
        <v>1000</v>
      </c>
      <c r="T53" s="23">
        <f>EDProj[[#This Row],[★ Ballot Cards]]/250</f>
        <v>4</v>
      </c>
      <c r="U53" s="38">
        <f>EDProj[[#This Row],[★ Soft Case (ADA) Voting Machines]]+EDProj[[#This Row],[Old EPB Allocation]]</f>
        <v>5</v>
      </c>
      <c r="V53" s="38">
        <f>EDProj[[#This Row],[Tables Needed]]</f>
        <v>5</v>
      </c>
      <c r="W53" s="27">
        <v>0</v>
      </c>
      <c r="X53" s="27">
        <v>0</v>
      </c>
      <c r="Y53" s="23">
        <f>ROUNDUP(IF(EDProj[[#This Row],[Tables Needed]]-EDProj[[#This Row],[Tables Provided by the Vote Center]]&lt;0,0,EDProj[[#This Row],[Tables Needed]]-EDProj[[#This Row],[Tables Provided by the Vote Center]]),0)</f>
        <v>5</v>
      </c>
      <c r="Z53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54" spans="1:26" ht="13.9">
      <c r="A54" s="23" t="s">
        <v>294</v>
      </c>
      <c r="B54" s="24" t="s">
        <v>295</v>
      </c>
      <c r="C54" s="73" t="s">
        <v>390</v>
      </c>
      <c r="D54" s="25" t="s">
        <v>409</v>
      </c>
      <c r="E54" s="26" t="s">
        <v>410</v>
      </c>
      <c r="F54" s="92">
        <v>892</v>
      </c>
      <c r="G54" s="27">
        <v>4</v>
      </c>
      <c r="H54" s="27">
        <v>4</v>
      </c>
      <c r="I54" s="27">
        <v>11</v>
      </c>
      <c r="J54" s="27">
        <v>1</v>
      </c>
      <c r="K54" s="27">
        <v>0</v>
      </c>
      <c r="L54" s="27">
        <v>0</v>
      </c>
      <c r="M54" s="23">
        <f>SUM(EDProj[[#This Row],[★ Hard Case Voting Machines]:[★ Curbside (Rollie) Voting Machine]])</f>
        <v>12</v>
      </c>
      <c r="N54" s="23">
        <v>1</v>
      </c>
      <c r="O54" s="27">
        <v>6</v>
      </c>
      <c r="P54" s="27">
        <v>1</v>
      </c>
      <c r="Q54" s="23">
        <v>1</v>
      </c>
      <c r="R54" s="27">
        <f>EDProj[[#This Row],[★ Judge]]+EDProj[[#This Row],[★ Alt Judge]]+EDProj[[#This Row],[★ Clerks]]</f>
        <v>8</v>
      </c>
      <c r="S54" s="28">
        <v>1500</v>
      </c>
      <c r="T54" s="23">
        <f>EDProj[[#This Row],[★ Ballot Cards]]/250</f>
        <v>6</v>
      </c>
      <c r="U54" s="38">
        <f>EDProj[[#This Row],[★ Soft Case (ADA) Voting Machines]]+EDProj[[#This Row],[Old EPB Allocation]]</f>
        <v>5</v>
      </c>
      <c r="V54" s="38">
        <f>EDProj[[#This Row],[Tables Needed]]</f>
        <v>5</v>
      </c>
      <c r="W54" s="27">
        <v>0</v>
      </c>
      <c r="X54" s="27">
        <v>0</v>
      </c>
      <c r="Y54" s="23">
        <f>ROUNDUP(IF(EDProj[[#This Row],[Tables Needed]]-EDProj[[#This Row],[Tables Provided by the Vote Center]]&lt;0,0,EDProj[[#This Row],[Tables Needed]]-EDProj[[#This Row],[Tables Provided by the Vote Center]]),0)</f>
        <v>5</v>
      </c>
      <c r="Z54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55" spans="1:26" ht="13.9">
      <c r="A55" s="23" t="s">
        <v>113</v>
      </c>
      <c r="B55" s="24" t="s">
        <v>262</v>
      </c>
      <c r="C55" s="73" t="s">
        <v>390</v>
      </c>
      <c r="D55" s="25" t="s">
        <v>261</v>
      </c>
      <c r="E55" s="26" t="s">
        <v>263</v>
      </c>
      <c r="F55" s="92">
        <v>3576</v>
      </c>
      <c r="G55" s="27">
        <v>5.3333333333333339</v>
      </c>
      <c r="H55" s="27">
        <v>9</v>
      </c>
      <c r="I55" s="27">
        <v>17</v>
      </c>
      <c r="J55" s="27">
        <v>1</v>
      </c>
      <c r="K55" s="27">
        <v>2</v>
      </c>
      <c r="L55" s="27">
        <v>1</v>
      </c>
      <c r="M55" s="23">
        <f>SUM(EDProj[[#This Row],[★ Hard Case Voting Machines]:[★ Curbside (Rollie) Voting Machine]])</f>
        <v>21</v>
      </c>
      <c r="N55" s="23">
        <v>1</v>
      </c>
      <c r="O55" s="27">
        <v>13</v>
      </c>
      <c r="P55" s="27">
        <v>1</v>
      </c>
      <c r="Q55" s="23">
        <v>1</v>
      </c>
      <c r="R55" s="27">
        <f>EDProj[[#This Row],[★ Judge]]+EDProj[[#This Row],[★ Alt Judge]]+EDProj[[#This Row],[★ Clerks]]</f>
        <v>15</v>
      </c>
      <c r="S55" s="28">
        <v>4750</v>
      </c>
      <c r="T55" s="23">
        <f>EDProj[[#This Row],[★ Ballot Cards]]/250</f>
        <v>19</v>
      </c>
      <c r="U55" s="38">
        <f>EDProj[[#This Row],[★ Soft Case (ADA) Voting Machines]]+EDProj[[#This Row],[Old EPB Allocation]]</f>
        <v>6.3333333333333339</v>
      </c>
      <c r="V55" s="38">
        <f>EDProj[[#This Row],[Tables Needed]]</f>
        <v>6.3333333333333339</v>
      </c>
      <c r="W55" s="27">
        <v>0</v>
      </c>
      <c r="X55" s="27">
        <v>0</v>
      </c>
      <c r="Y55" s="23">
        <f>ROUNDUP(IF(EDProj[[#This Row],[Tables Needed]]-EDProj[[#This Row],[Tables Provided by the Vote Center]]&lt;0,0,EDProj[[#This Row],[Tables Needed]]-EDProj[[#This Row],[Tables Provided by the Vote Center]]),0)</f>
        <v>7</v>
      </c>
      <c r="Z55" s="23">
        <f>ROUNDUP(IF(EDProj[[#This Row],[Chairs Needed]]-EDProj[[#This Row],[Chairs Provided by the Vote Center]]&lt;0,0,EDProj[[#This Row],[Chairs Needed]]-EDProj[[#This Row],[Chairs Provided by the Vote Center]]),0)</f>
        <v>7</v>
      </c>
    </row>
    <row r="56" spans="1:26" ht="13.9">
      <c r="A56" s="23" t="s">
        <v>294</v>
      </c>
      <c r="B56" s="24" t="s">
        <v>295</v>
      </c>
      <c r="C56" s="73" t="s">
        <v>390</v>
      </c>
      <c r="D56" s="25" t="s">
        <v>411</v>
      </c>
      <c r="E56" s="26" t="s">
        <v>412</v>
      </c>
      <c r="F56" s="92">
        <v>460</v>
      </c>
      <c r="G56" s="27">
        <v>4</v>
      </c>
      <c r="H56" s="27">
        <v>4</v>
      </c>
      <c r="I56" s="27">
        <v>7</v>
      </c>
      <c r="J56" s="27">
        <v>1</v>
      </c>
      <c r="K56" s="27">
        <v>0</v>
      </c>
      <c r="L56" s="27">
        <v>0</v>
      </c>
      <c r="M56" s="23">
        <f>SUM(EDProj[[#This Row],[★ Hard Case Voting Machines]:[★ Curbside (Rollie) Voting Machine]])</f>
        <v>8</v>
      </c>
      <c r="N56" s="23">
        <v>1</v>
      </c>
      <c r="O56" s="27">
        <v>5</v>
      </c>
      <c r="P56" s="27">
        <v>1</v>
      </c>
      <c r="Q56" s="23">
        <v>1</v>
      </c>
      <c r="R56" s="27">
        <f>EDProj[[#This Row],[★ Judge]]+EDProj[[#This Row],[★ Alt Judge]]+EDProj[[#This Row],[★ Clerks]]</f>
        <v>7</v>
      </c>
      <c r="S56" s="28">
        <v>750</v>
      </c>
      <c r="T56" s="23">
        <f>EDProj[[#This Row],[★ Ballot Cards]]/250</f>
        <v>3</v>
      </c>
      <c r="U56" s="38">
        <f>EDProj[[#This Row],[★ Soft Case (ADA) Voting Machines]]+EDProj[[#This Row],[Old EPB Allocation]]</f>
        <v>5</v>
      </c>
      <c r="V56" s="38">
        <f>EDProj[[#This Row],[Tables Needed]]</f>
        <v>5</v>
      </c>
      <c r="W56" s="27">
        <v>4</v>
      </c>
      <c r="X56" s="27">
        <v>10</v>
      </c>
      <c r="Y56" s="23">
        <f>ROUNDUP(IF(EDProj[[#This Row],[Tables Needed]]-EDProj[[#This Row],[Tables Provided by the Vote Center]]&lt;0,0,EDProj[[#This Row],[Tables Needed]]-EDProj[[#This Row],[Tables Provided by the Vote Center]]),0)</f>
        <v>1</v>
      </c>
      <c r="Z56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57" spans="1:26" ht="13.9">
      <c r="A57" s="23" t="s">
        <v>294</v>
      </c>
      <c r="B57" s="24" t="s">
        <v>295</v>
      </c>
      <c r="C57" s="73" t="s">
        <v>390</v>
      </c>
      <c r="D57" s="30" t="s">
        <v>413</v>
      </c>
      <c r="E57" s="31" t="s">
        <v>414</v>
      </c>
      <c r="F57" s="93">
        <v>1775</v>
      </c>
      <c r="G57" s="27">
        <v>4</v>
      </c>
      <c r="H57" s="27">
        <v>6</v>
      </c>
      <c r="I57" s="27">
        <v>18</v>
      </c>
      <c r="J57" s="27">
        <v>1</v>
      </c>
      <c r="K57" s="27">
        <v>0</v>
      </c>
      <c r="L57" s="27">
        <v>0</v>
      </c>
      <c r="M57" s="23">
        <f>SUM(EDProj[[#This Row],[★ Hard Case Voting Machines]:[★ Curbside (Rollie) Voting Machine]])</f>
        <v>19</v>
      </c>
      <c r="N57" s="23">
        <v>1</v>
      </c>
      <c r="O57" s="27">
        <v>10</v>
      </c>
      <c r="P57" s="27">
        <v>1</v>
      </c>
      <c r="Q57" s="23">
        <v>1</v>
      </c>
      <c r="R57" s="27">
        <f>EDProj[[#This Row],[★ Judge]]+EDProj[[#This Row],[★ Alt Judge]]+EDProj[[#This Row],[★ Clerks]]</f>
        <v>12</v>
      </c>
      <c r="S57" s="28">
        <v>3000</v>
      </c>
      <c r="T57" s="23">
        <f>EDProj[[#This Row],[★ Ballot Cards]]/250</f>
        <v>12</v>
      </c>
      <c r="U57" s="38">
        <f>EDProj[[#This Row],[★ Soft Case (ADA) Voting Machines]]+EDProj[[#This Row],[Old EPB Allocation]]</f>
        <v>5</v>
      </c>
      <c r="V57" s="38">
        <f>EDProj[[#This Row],[Tables Needed]]</f>
        <v>5</v>
      </c>
      <c r="W57" s="27">
        <v>0</v>
      </c>
      <c r="X57" s="27">
        <v>0</v>
      </c>
      <c r="Y57" s="23">
        <f>ROUNDUP(IF(EDProj[[#This Row],[Tables Needed]]-EDProj[[#This Row],[Tables Provided by the Vote Center]]&lt;0,0,EDProj[[#This Row],[Tables Needed]]-EDProj[[#This Row],[Tables Provided by the Vote Center]]),0)</f>
        <v>5</v>
      </c>
      <c r="Z57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58" spans="1:26" ht="13.9">
      <c r="A58" s="23" t="s">
        <v>294</v>
      </c>
      <c r="B58" s="24" t="s">
        <v>295</v>
      </c>
      <c r="C58" s="73" t="s">
        <v>390</v>
      </c>
      <c r="D58" s="25" t="s">
        <v>415</v>
      </c>
      <c r="E58" s="26" t="s">
        <v>416</v>
      </c>
      <c r="F58" s="92">
        <v>308</v>
      </c>
      <c r="G58" s="27">
        <v>4</v>
      </c>
      <c r="H58" s="27">
        <v>4</v>
      </c>
      <c r="I58" s="27">
        <v>4</v>
      </c>
      <c r="J58" s="27">
        <v>1</v>
      </c>
      <c r="K58" s="27">
        <v>0</v>
      </c>
      <c r="L58" s="27">
        <v>0</v>
      </c>
      <c r="M58" s="23">
        <f>SUM(EDProj[[#This Row],[★ Hard Case Voting Machines]:[★ Curbside (Rollie) Voting Machine]])</f>
        <v>5</v>
      </c>
      <c r="N58" s="23">
        <v>1</v>
      </c>
      <c r="O58" s="27">
        <v>5</v>
      </c>
      <c r="P58" s="27">
        <v>1</v>
      </c>
      <c r="Q58" s="23">
        <v>1</v>
      </c>
      <c r="R58" s="27">
        <f>EDProj[[#This Row],[★ Judge]]+EDProj[[#This Row],[★ Alt Judge]]+EDProj[[#This Row],[★ Clerks]]</f>
        <v>7</v>
      </c>
      <c r="S58" s="28">
        <v>500</v>
      </c>
      <c r="T58" s="23">
        <f>EDProj[[#This Row],[★ Ballot Cards]]/250</f>
        <v>2</v>
      </c>
      <c r="U58" s="38">
        <f>EDProj[[#This Row],[★ Soft Case (ADA) Voting Machines]]+EDProj[[#This Row],[Old EPB Allocation]]</f>
        <v>5</v>
      </c>
      <c r="V58" s="38">
        <f>EDProj[[#This Row],[Tables Needed]]</f>
        <v>5</v>
      </c>
      <c r="W58" s="27">
        <v>0</v>
      </c>
      <c r="X58" s="27">
        <v>0</v>
      </c>
      <c r="Y58" s="23">
        <f>ROUNDUP(IF(EDProj[[#This Row],[Tables Needed]]-EDProj[[#This Row],[Tables Provided by the Vote Center]]&lt;0,0,EDProj[[#This Row],[Tables Needed]]-EDProj[[#This Row],[Tables Provided by the Vote Center]]),0)</f>
        <v>5</v>
      </c>
      <c r="Z58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59" spans="1:26" ht="13.9">
      <c r="A59" s="23" t="s">
        <v>294</v>
      </c>
      <c r="B59" s="24" t="s">
        <v>295</v>
      </c>
      <c r="C59" s="73" t="s">
        <v>390</v>
      </c>
      <c r="D59" s="25" t="s">
        <v>417</v>
      </c>
      <c r="E59" s="26" t="s">
        <v>418</v>
      </c>
      <c r="F59" s="92">
        <v>582</v>
      </c>
      <c r="G59" s="27">
        <v>4</v>
      </c>
      <c r="H59" s="27">
        <v>4</v>
      </c>
      <c r="I59" s="27">
        <v>7</v>
      </c>
      <c r="J59" s="27">
        <v>1</v>
      </c>
      <c r="K59" s="27">
        <v>0</v>
      </c>
      <c r="L59" s="27">
        <v>0</v>
      </c>
      <c r="M59" s="23">
        <f>SUM(EDProj[[#This Row],[★ Hard Case Voting Machines]:[★ Curbside (Rollie) Voting Machine]])</f>
        <v>8</v>
      </c>
      <c r="N59" s="23">
        <v>1</v>
      </c>
      <c r="O59" s="27">
        <v>6</v>
      </c>
      <c r="P59" s="27">
        <v>1</v>
      </c>
      <c r="Q59" s="23">
        <v>1</v>
      </c>
      <c r="R59" s="27">
        <f>EDProj[[#This Row],[★ Judge]]+EDProj[[#This Row],[★ Alt Judge]]+EDProj[[#This Row],[★ Clerks]]</f>
        <v>8</v>
      </c>
      <c r="S59" s="28">
        <v>1000</v>
      </c>
      <c r="T59" s="23">
        <f>EDProj[[#This Row],[★ Ballot Cards]]/250</f>
        <v>4</v>
      </c>
      <c r="U59" s="38">
        <f>EDProj[[#This Row],[★ Soft Case (ADA) Voting Machines]]+EDProj[[#This Row],[Old EPB Allocation]]</f>
        <v>5</v>
      </c>
      <c r="V59" s="38">
        <f>EDProj[[#This Row],[Tables Needed]]</f>
        <v>5</v>
      </c>
      <c r="W59" s="27">
        <v>0</v>
      </c>
      <c r="X59" s="27">
        <v>0</v>
      </c>
      <c r="Y59" s="23">
        <f>ROUNDUP(IF(EDProj[[#This Row],[Tables Needed]]-EDProj[[#This Row],[Tables Provided by the Vote Center]]&lt;0,0,EDProj[[#This Row],[Tables Needed]]-EDProj[[#This Row],[Tables Provided by the Vote Center]]),0)</f>
        <v>5</v>
      </c>
      <c r="Z59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60" spans="1:26" ht="13.9">
      <c r="A60" s="23" t="s">
        <v>294</v>
      </c>
      <c r="B60" s="24" t="s">
        <v>295</v>
      </c>
      <c r="C60" s="73" t="s">
        <v>390</v>
      </c>
      <c r="D60" s="25" t="s">
        <v>419</v>
      </c>
      <c r="E60" s="26" t="s">
        <v>420</v>
      </c>
      <c r="F60" s="92">
        <v>198</v>
      </c>
      <c r="G60" s="27">
        <v>4</v>
      </c>
      <c r="H60" s="27">
        <v>4</v>
      </c>
      <c r="I60" s="27">
        <v>4</v>
      </c>
      <c r="J60" s="27">
        <v>1</v>
      </c>
      <c r="K60" s="27">
        <v>0</v>
      </c>
      <c r="L60" s="27">
        <v>0</v>
      </c>
      <c r="M60" s="23">
        <f>SUM(EDProj[[#This Row],[★ Hard Case Voting Machines]:[★ Curbside (Rollie) Voting Machine]])</f>
        <v>5</v>
      </c>
      <c r="N60" s="23">
        <v>1</v>
      </c>
      <c r="O60" s="27">
        <v>5</v>
      </c>
      <c r="P60" s="27">
        <v>1</v>
      </c>
      <c r="Q60" s="23">
        <v>1</v>
      </c>
      <c r="R60" s="27">
        <f>EDProj[[#This Row],[★ Judge]]+EDProj[[#This Row],[★ Alt Judge]]+EDProj[[#This Row],[★ Clerks]]</f>
        <v>7</v>
      </c>
      <c r="S60" s="28">
        <v>500</v>
      </c>
      <c r="T60" s="23">
        <f>EDProj[[#This Row],[★ Ballot Cards]]/250</f>
        <v>2</v>
      </c>
      <c r="U60" s="38">
        <f>EDProj[[#This Row],[★ Soft Case (ADA) Voting Machines]]+EDProj[[#This Row],[Old EPB Allocation]]</f>
        <v>5</v>
      </c>
      <c r="V60" s="38">
        <f>EDProj[[#This Row],[Tables Needed]]</f>
        <v>5</v>
      </c>
      <c r="W60" s="27">
        <v>0</v>
      </c>
      <c r="X60" s="27">
        <v>0</v>
      </c>
      <c r="Y60" s="23">
        <f>ROUNDUP(IF(EDProj[[#This Row],[Tables Needed]]-EDProj[[#This Row],[Tables Provided by the Vote Center]]&lt;0,0,EDProj[[#This Row],[Tables Needed]]-EDProj[[#This Row],[Tables Provided by the Vote Center]]),0)</f>
        <v>5</v>
      </c>
      <c r="Z60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61" spans="1:26" ht="13.9">
      <c r="A61" s="23" t="s">
        <v>294</v>
      </c>
      <c r="B61" s="24" t="s">
        <v>295</v>
      </c>
      <c r="C61" s="73" t="s">
        <v>390</v>
      </c>
      <c r="D61" s="25" t="s">
        <v>421</v>
      </c>
      <c r="E61" s="26" t="s">
        <v>422</v>
      </c>
      <c r="F61" s="92">
        <v>839</v>
      </c>
      <c r="G61" s="27">
        <v>4</v>
      </c>
      <c r="H61" s="27">
        <v>4</v>
      </c>
      <c r="I61" s="27">
        <v>11</v>
      </c>
      <c r="J61" s="27">
        <v>1</v>
      </c>
      <c r="K61" s="27">
        <v>0</v>
      </c>
      <c r="L61" s="27">
        <v>0</v>
      </c>
      <c r="M61" s="23">
        <f>SUM(EDProj[[#This Row],[★ Hard Case Voting Machines]:[★ Curbside (Rollie) Voting Machine]])</f>
        <v>12</v>
      </c>
      <c r="N61" s="23">
        <v>1</v>
      </c>
      <c r="O61" s="27">
        <v>7</v>
      </c>
      <c r="P61" s="27">
        <v>1</v>
      </c>
      <c r="Q61" s="23">
        <v>1</v>
      </c>
      <c r="R61" s="27">
        <f>EDProj[[#This Row],[★ Judge]]+EDProj[[#This Row],[★ Alt Judge]]+EDProj[[#This Row],[★ Clerks]]</f>
        <v>9</v>
      </c>
      <c r="S61" s="28">
        <v>1500</v>
      </c>
      <c r="T61" s="23">
        <f>EDProj[[#This Row],[★ Ballot Cards]]/250</f>
        <v>6</v>
      </c>
      <c r="U61" s="38">
        <f>EDProj[[#This Row],[★ Soft Case (ADA) Voting Machines]]+EDProj[[#This Row],[Old EPB Allocation]]</f>
        <v>5</v>
      </c>
      <c r="V61" s="38">
        <f>EDProj[[#This Row],[Tables Needed]]</f>
        <v>5</v>
      </c>
      <c r="W61" s="27">
        <v>20</v>
      </c>
      <c r="X61" s="27">
        <v>20</v>
      </c>
      <c r="Y61" s="23">
        <f>ROUNDUP(IF(EDProj[[#This Row],[Tables Needed]]-EDProj[[#This Row],[Tables Provided by the Vote Center]]&lt;0,0,EDProj[[#This Row],[Tables Needed]]-EDProj[[#This Row],[Tables Provided by the Vote Center]]),0)</f>
        <v>0</v>
      </c>
      <c r="Z61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62" spans="1:26" ht="13.9">
      <c r="A62" s="23" t="s">
        <v>294</v>
      </c>
      <c r="B62" s="24" t="s">
        <v>295</v>
      </c>
      <c r="C62" s="73" t="s">
        <v>390</v>
      </c>
      <c r="D62" s="25" t="s">
        <v>423</v>
      </c>
      <c r="E62" s="26" t="s">
        <v>424</v>
      </c>
      <c r="F62" s="92">
        <v>562</v>
      </c>
      <c r="G62" s="27">
        <v>4</v>
      </c>
      <c r="H62" s="27">
        <v>4</v>
      </c>
      <c r="I62" s="27">
        <v>8</v>
      </c>
      <c r="J62" s="27">
        <v>1</v>
      </c>
      <c r="K62" s="27">
        <v>0</v>
      </c>
      <c r="L62" s="27">
        <v>0</v>
      </c>
      <c r="M62" s="23">
        <f>SUM(EDProj[[#This Row],[★ Hard Case Voting Machines]:[★ Curbside (Rollie) Voting Machine]])</f>
        <v>9</v>
      </c>
      <c r="N62" s="23">
        <v>1</v>
      </c>
      <c r="O62" s="27">
        <v>6</v>
      </c>
      <c r="P62" s="27">
        <v>1</v>
      </c>
      <c r="Q62" s="23">
        <v>1</v>
      </c>
      <c r="R62" s="27">
        <f>EDProj[[#This Row],[★ Judge]]+EDProj[[#This Row],[★ Alt Judge]]+EDProj[[#This Row],[★ Clerks]]</f>
        <v>8</v>
      </c>
      <c r="S62" s="28">
        <v>1000</v>
      </c>
      <c r="T62" s="23">
        <f>EDProj[[#This Row],[★ Ballot Cards]]/250</f>
        <v>4</v>
      </c>
      <c r="U62" s="38">
        <f>EDProj[[#This Row],[★ Soft Case (ADA) Voting Machines]]+EDProj[[#This Row],[Old EPB Allocation]]</f>
        <v>5</v>
      </c>
      <c r="V62" s="38">
        <f>EDProj[[#This Row],[Tables Needed]]</f>
        <v>5</v>
      </c>
      <c r="W62" s="27">
        <v>6</v>
      </c>
      <c r="X62" s="27">
        <v>30</v>
      </c>
      <c r="Y62" s="23">
        <f>ROUNDUP(IF(EDProj[[#This Row],[Tables Needed]]-EDProj[[#This Row],[Tables Provided by the Vote Center]]&lt;0,0,EDProj[[#This Row],[Tables Needed]]-EDProj[[#This Row],[Tables Provided by the Vote Center]]),0)</f>
        <v>0</v>
      </c>
      <c r="Z62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63" spans="1:26" ht="13.9">
      <c r="A63" s="23" t="s">
        <v>294</v>
      </c>
      <c r="B63" s="24" t="s">
        <v>295</v>
      </c>
      <c r="C63" s="73" t="s">
        <v>390</v>
      </c>
      <c r="D63" s="25" t="s">
        <v>425</v>
      </c>
      <c r="E63" s="26" t="s">
        <v>426</v>
      </c>
      <c r="F63" s="92">
        <v>558</v>
      </c>
      <c r="G63" s="27">
        <v>4</v>
      </c>
      <c r="H63" s="27">
        <v>4</v>
      </c>
      <c r="I63" s="27">
        <v>8</v>
      </c>
      <c r="J63" s="27">
        <v>1</v>
      </c>
      <c r="K63" s="27">
        <v>0</v>
      </c>
      <c r="L63" s="27">
        <v>0</v>
      </c>
      <c r="M63" s="23">
        <f>SUM(EDProj[[#This Row],[★ Hard Case Voting Machines]:[★ Curbside (Rollie) Voting Machine]])</f>
        <v>9</v>
      </c>
      <c r="N63" s="23">
        <v>1</v>
      </c>
      <c r="O63" s="27">
        <v>7</v>
      </c>
      <c r="P63" s="27">
        <v>1</v>
      </c>
      <c r="Q63" s="23">
        <v>1</v>
      </c>
      <c r="R63" s="27">
        <f>EDProj[[#This Row],[★ Judge]]+EDProj[[#This Row],[★ Alt Judge]]+EDProj[[#This Row],[★ Clerks]]</f>
        <v>9</v>
      </c>
      <c r="S63" s="28">
        <v>1000</v>
      </c>
      <c r="T63" s="23">
        <f>EDProj[[#This Row],[★ Ballot Cards]]/250</f>
        <v>4</v>
      </c>
      <c r="U63" s="38">
        <f>EDProj[[#This Row],[★ Soft Case (ADA) Voting Machines]]+EDProj[[#This Row],[Old EPB Allocation]]</f>
        <v>5</v>
      </c>
      <c r="V63" s="38">
        <f>EDProj[[#This Row],[Tables Needed]]</f>
        <v>5</v>
      </c>
      <c r="W63" s="27">
        <v>10</v>
      </c>
      <c r="X63" s="27">
        <v>20</v>
      </c>
      <c r="Y63" s="23">
        <f>ROUNDUP(IF(EDProj[[#This Row],[Tables Needed]]-EDProj[[#This Row],[Tables Provided by the Vote Center]]&lt;0,0,EDProj[[#This Row],[Tables Needed]]-EDProj[[#This Row],[Tables Provided by the Vote Center]]),0)</f>
        <v>0</v>
      </c>
      <c r="Z63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64" spans="1:26" ht="13.9">
      <c r="A64" s="23" t="s">
        <v>294</v>
      </c>
      <c r="B64" s="24" t="s">
        <v>295</v>
      </c>
      <c r="C64" s="73" t="s">
        <v>390</v>
      </c>
      <c r="D64" s="25" t="s">
        <v>427</v>
      </c>
      <c r="E64" s="26" t="s">
        <v>428</v>
      </c>
      <c r="F64" s="92">
        <v>528</v>
      </c>
      <c r="G64" s="27">
        <v>4</v>
      </c>
      <c r="H64" s="27">
        <v>4</v>
      </c>
      <c r="I64" s="27">
        <v>8</v>
      </c>
      <c r="J64" s="27">
        <v>1</v>
      </c>
      <c r="K64" s="27">
        <v>0</v>
      </c>
      <c r="L64" s="27">
        <v>0</v>
      </c>
      <c r="M64" s="23">
        <f>SUM(EDProj[[#This Row],[★ Hard Case Voting Machines]:[★ Curbside (Rollie) Voting Machine]])</f>
        <v>9</v>
      </c>
      <c r="N64" s="23">
        <v>1</v>
      </c>
      <c r="O64" s="27">
        <v>6</v>
      </c>
      <c r="P64" s="27">
        <v>1</v>
      </c>
      <c r="Q64" s="23">
        <v>1</v>
      </c>
      <c r="R64" s="27">
        <f>EDProj[[#This Row],[★ Judge]]+EDProj[[#This Row],[★ Alt Judge]]+EDProj[[#This Row],[★ Clerks]]</f>
        <v>8</v>
      </c>
      <c r="S64" s="28">
        <v>1000</v>
      </c>
      <c r="T64" s="23">
        <f>EDProj[[#This Row],[★ Ballot Cards]]/250</f>
        <v>4</v>
      </c>
      <c r="U64" s="38">
        <f>EDProj[[#This Row],[★ Soft Case (ADA) Voting Machines]]+EDProj[[#This Row],[Old EPB Allocation]]</f>
        <v>5</v>
      </c>
      <c r="V64" s="38">
        <f>EDProj[[#This Row],[Tables Needed]]</f>
        <v>5</v>
      </c>
      <c r="W64" s="27">
        <v>0</v>
      </c>
      <c r="X64" s="27">
        <v>0</v>
      </c>
      <c r="Y64" s="23">
        <f>ROUNDUP(IF(EDProj[[#This Row],[Tables Needed]]-EDProj[[#This Row],[Tables Provided by the Vote Center]]&lt;0,0,EDProj[[#This Row],[Tables Needed]]-EDProj[[#This Row],[Tables Provided by the Vote Center]]),0)</f>
        <v>5</v>
      </c>
      <c r="Z64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65" spans="1:26" ht="13.9">
      <c r="A65" s="23" t="s">
        <v>294</v>
      </c>
      <c r="B65" s="24" t="s">
        <v>295</v>
      </c>
      <c r="C65" s="73" t="s">
        <v>390</v>
      </c>
      <c r="D65" s="25" t="s">
        <v>429</v>
      </c>
      <c r="E65" s="26" t="s">
        <v>430</v>
      </c>
      <c r="F65" s="92">
        <v>935</v>
      </c>
      <c r="G65" s="27">
        <v>4</v>
      </c>
      <c r="H65" s="27">
        <v>4</v>
      </c>
      <c r="I65" s="27">
        <v>11</v>
      </c>
      <c r="J65" s="27">
        <v>1</v>
      </c>
      <c r="K65" s="27">
        <v>0</v>
      </c>
      <c r="L65" s="27">
        <v>0</v>
      </c>
      <c r="M65" s="23">
        <f>SUM(EDProj[[#This Row],[★ Hard Case Voting Machines]:[★ Curbside (Rollie) Voting Machine]])</f>
        <v>12</v>
      </c>
      <c r="N65" s="23">
        <v>1</v>
      </c>
      <c r="O65" s="27">
        <v>7</v>
      </c>
      <c r="P65" s="27">
        <v>1</v>
      </c>
      <c r="Q65" s="23">
        <v>1</v>
      </c>
      <c r="R65" s="27">
        <f>EDProj[[#This Row],[★ Judge]]+EDProj[[#This Row],[★ Alt Judge]]+EDProj[[#This Row],[★ Clerks]]</f>
        <v>9</v>
      </c>
      <c r="S65" s="28">
        <v>1500</v>
      </c>
      <c r="T65" s="23">
        <f>EDProj[[#This Row],[★ Ballot Cards]]/250</f>
        <v>6</v>
      </c>
      <c r="U65" s="38">
        <f>EDProj[[#This Row],[★ Soft Case (ADA) Voting Machines]]+EDProj[[#This Row],[Old EPB Allocation]]</f>
        <v>5</v>
      </c>
      <c r="V65" s="38">
        <f>EDProj[[#This Row],[Tables Needed]]</f>
        <v>5</v>
      </c>
      <c r="W65" s="27">
        <v>100</v>
      </c>
      <c r="X65" s="27">
        <v>100</v>
      </c>
      <c r="Y65" s="23">
        <f>ROUNDUP(IF(EDProj[[#This Row],[Tables Needed]]-EDProj[[#This Row],[Tables Provided by the Vote Center]]&lt;0,0,EDProj[[#This Row],[Tables Needed]]-EDProj[[#This Row],[Tables Provided by the Vote Center]]),0)</f>
        <v>0</v>
      </c>
      <c r="Z65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66" spans="1:26" ht="13.9">
      <c r="A66" s="23" t="s">
        <v>113</v>
      </c>
      <c r="B66" s="24" t="s">
        <v>305</v>
      </c>
      <c r="C66" s="73" t="s">
        <v>390</v>
      </c>
      <c r="D66" s="30" t="s">
        <v>304</v>
      </c>
      <c r="E66" s="31" t="s">
        <v>306</v>
      </c>
      <c r="F66" s="93">
        <v>2888</v>
      </c>
      <c r="G66" s="27">
        <v>6.333333333333333</v>
      </c>
      <c r="H66" s="27">
        <v>10</v>
      </c>
      <c r="I66" s="27">
        <v>22</v>
      </c>
      <c r="J66" s="27">
        <v>1</v>
      </c>
      <c r="K66" s="27">
        <v>2</v>
      </c>
      <c r="L66" s="27">
        <v>1</v>
      </c>
      <c r="M66" s="23">
        <f>SUM(EDProj[[#This Row],[★ Hard Case Voting Machines]:[★ Curbside (Rollie) Voting Machine]])</f>
        <v>26</v>
      </c>
      <c r="N66" s="23">
        <v>1</v>
      </c>
      <c r="O66" s="27">
        <v>15</v>
      </c>
      <c r="P66" s="27">
        <v>1</v>
      </c>
      <c r="Q66" s="23">
        <v>1</v>
      </c>
      <c r="R66" s="27">
        <f>EDProj[[#This Row],[★ Judge]]+EDProj[[#This Row],[★ Alt Judge]]+EDProj[[#This Row],[★ Clerks]]</f>
        <v>17</v>
      </c>
      <c r="S66" s="28">
        <v>4500</v>
      </c>
      <c r="T66" s="23">
        <f>EDProj[[#This Row],[★ Ballot Cards]]/250</f>
        <v>18</v>
      </c>
      <c r="U66" s="38">
        <f>EDProj[[#This Row],[★ Soft Case (ADA) Voting Machines]]+EDProj[[#This Row],[Old EPB Allocation]]</f>
        <v>7.333333333333333</v>
      </c>
      <c r="V66" s="38">
        <f>EDProj[[#This Row],[Tables Needed]]</f>
        <v>7.333333333333333</v>
      </c>
      <c r="W66" s="27">
        <v>10</v>
      </c>
      <c r="X66" s="27">
        <v>10</v>
      </c>
      <c r="Y66" s="23">
        <f>ROUNDUP(IF(EDProj[[#This Row],[Tables Needed]]-EDProj[[#This Row],[Tables Provided by the Vote Center]]&lt;0,0,EDProj[[#This Row],[Tables Needed]]-EDProj[[#This Row],[Tables Provided by the Vote Center]]),0)</f>
        <v>0</v>
      </c>
      <c r="Z66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67" spans="1:26" ht="13.9">
      <c r="A67" s="23" t="s">
        <v>294</v>
      </c>
      <c r="B67" s="24" t="s">
        <v>295</v>
      </c>
      <c r="C67" s="73" t="s">
        <v>390</v>
      </c>
      <c r="D67" s="25" t="s">
        <v>431</v>
      </c>
      <c r="E67" s="26" t="s">
        <v>432</v>
      </c>
      <c r="F67" s="92">
        <v>801</v>
      </c>
      <c r="G67" s="27">
        <v>4</v>
      </c>
      <c r="H67" s="27">
        <v>4</v>
      </c>
      <c r="I67" s="27">
        <v>11</v>
      </c>
      <c r="J67" s="27">
        <v>1</v>
      </c>
      <c r="K67" s="27">
        <v>0</v>
      </c>
      <c r="L67" s="27">
        <v>0</v>
      </c>
      <c r="M67" s="23">
        <f>SUM(EDProj[[#This Row],[★ Hard Case Voting Machines]:[★ Curbside (Rollie) Voting Machine]])</f>
        <v>12</v>
      </c>
      <c r="N67" s="23">
        <v>1</v>
      </c>
      <c r="O67" s="27">
        <v>6</v>
      </c>
      <c r="P67" s="23">
        <v>1</v>
      </c>
      <c r="Q67" s="23">
        <v>1</v>
      </c>
      <c r="R67" s="27">
        <f>EDProj[[#This Row],[★ Judge]]+EDProj[[#This Row],[★ Alt Judge]]+EDProj[[#This Row],[★ Clerks]]</f>
        <v>8</v>
      </c>
      <c r="S67" s="28">
        <v>1500</v>
      </c>
      <c r="T67" s="23">
        <f>EDProj[[#This Row],[★ Ballot Cards]]/250</f>
        <v>6</v>
      </c>
      <c r="U67" s="38">
        <f>EDProj[[#This Row],[★ Soft Case (ADA) Voting Machines]]+EDProj[[#This Row],[Old EPB Allocation]]</f>
        <v>5</v>
      </c>
      <c r="V67" s="38">
        <f>EDProj[[#This Row],[Tables Needed]]</f>
        <v>5</v>
      </c>
      <c r="W67" s="27">
        <v>6</v>
      </c>
      <c r="X67" s="27">
        <v>10</v>
      </c>
      <c r="Y67" s="23">
        <f>ROUNDUP(IF(EDProj[[#This Row],[Tables Needed]]-EDProj[[#This Row],[Tables Provided by the Vote Center]]&lt;0,0,EDProj[[#This Row],[Tables Needed]]-EDProj[[#This Row],[Tables Provided by the Vote Center]]),0)</f>
        <v>0</v>
      </c>
      <c r="Z67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68" spans="1:26" ht="13.9">
      <c r="A68" s="23" t="s">
        <v>294</v>
      </c>
      <c r="B68" s="24" t="s">
        <v>295</v>
      </c>
      <c r="C68" s="73" t="s">
        <v>390</v>
      </c>
      <c r="D68" s="25" t="s">
        <v>433</v>
      </c>
      <c r="E68" s="26" t="s">
        <v>434</v>
      </c>
      <c r="F68" s="92">
        <v>629</v>
      </c>
      <c r="G68" s="27">
        <v>4</v>
      </c>
      <c r="H68" s="27">
        <v>4</v>
      </c>
      <c r="I68" s="27">
        <v>10</v>
      </c>
      <c r="J68" s="27">
        <v>1</v>
      </c>
      <c r="K68" s="27">
        <v>0</v>
      </c>
      <c r="L68" s="27">
        <v>0</v>
      </c>
      <c r="M68" s="23">
        <f>SUM(EDProj[[#This Row],[★ Hard Case Voting Machines]:[★ Curbside (Rollie) Voting Machine]])</f>
        <v>11</v>
      </c>
      <c r="N68" s="23">
        <v>1</v>
      </c>
      <c r="O68" s="27">
        <v>6</v>
      </c>
      <c r="P68" s="23">
        <v>1</v>
      </c>
      <c r="Q68" s="23">
        <v>1</v>
      </c>
      <c r="R68" s="27">
        <f>EDProj[[#This Row],[★ Judge]]+EDProj[[#This Row],[★ Alt Judge]]+EDProj[[#This Row],[★ Clerks]]</f>
        <v>8</v>
      </c>
      <c r="S68" s="28">
        <v>1250</v>
      </c>
      <c r="T68" s="23">
        <f>EDProj[[#This Row],[★ Ballot Cards]]/250</f>
        <v>5</v>
      </c>
      <c r="U68" s="38">
        <f>EDProj[[#This Row],[★ Soft Case (ADA) Voting Machines]]+EDProj[[#This Row],[Old EPB Allocation]]</f>
        <v>5</v>
      </c>
      <c r="V68" s="38">
        <f>EDProj[[#This Row],[Tables Needed]]</f>
        <v>5</v>
      </c>
      <c r="W68" s="27">
        <v>6</v>
      </c>
      <c r="X68" s="27">
        <v>10</v>
      </c>
      <c r="Y68" s="23">
        <f>ROUNDUP(IF(EDProj[[#This Row],[Tables Needed]]-EDProj[[#This Row],[Tables Provided by the Vote Center]]&lt;0,0,EDProj[[#This Row],[Tables Needed]]-EDProj[[#This Row],[Tables Provided by the Vote Center]]),0)</f>
        <v>0</v>
      </c>
      <c r="Z68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69" spans="1:26" ht="13.9">
      <c r="A69" s="23" t="s">
        <v>294</v>
      </c>
      <c r="B69" s="24" t="s">
        <v>295</v>
      </c>
      <c r="C69" s="73" t="s">
        <v>390</v>
      </c>
      <c r="D69" s="25" t="s">
        <v>435</v>
      </c>
      <c r="E69" s="26" t="s">
        <v>436</v>
      </c>
      <c r="F69" s="92">
        <v>504</v>
      </c>
      <c r="G69" s="27">
        <v>4</v>
      </c>
      <c r="H69" s="27">
        <v>4</v>
      </c>
      <c r="I69" s="27">
        <v>8</v>
      </c>
      <c r="J69" s="27">
        <v>1</v>
      </c>
      <c r="K69" s="27">
        <v>0</v>
      </c>
      <c r="L69" s="27">
        <v>0</v>
      </c>
      <c r="M69" s="23">
        <f>SUM(EDProj[[#This Row],[★ Hard Case Voting Machines]:[★ Curbside (Rollie) Voting Machine]])</f>
        <v>9</v>
      </c>
      <c r="N69" s="23">
        <v>1</v>
      </c>
      <c r="O69" s="27">
        <v>6</v>
      </c>
      <c r="P69" s="23">
        <v>1</v>
      </c>
      <c r="Q69" s="23">
        <v>1</v>
      </c>
      <c r="R69" s="27">
        <f>EDProj[[#This Row],[★ Judge]]+EDProj[[#This Row],[★ Alt Judge]]+EDProj[[#This Row],[★ Clerks]]</f>
        <v>8</v>
      </c>
      <c r="S69" s="28">
        <v>1000</v>
      </c>
      <c r="T69" s="23">
        <f>EDProj[[#This Row],[★ Ballot Cards]]/250</f>
        <v>4</v>
      </c>
      <c r="U69" s="38">
        <f>EDProj[[#This Row],[★ Soft Case (ADA) Voting Machines]]+EDProj[[#This Row],[Old EPB Allocation]]</f>
        <v>5</v>
      </c>
      <c r="V69" s="38">
        <f>EDProj[[#This Row],[Tables Needed]]</f>
        <v>5</v>
      </c>
      <c r="W69" s="27">
        <v>4</v>
      </c>
      <c r="X69" s="27">
        <v>10</v>
      </c>
      <c r="Y69" s="23">
        <f>ROUNDUP(IF(EDProj[[#This Row],[Tables Needed]]-EDProj[[#This Row],[Tables Provided by the Vote Center]]&lt;0,0,EDProj[[#This Row],[Tables Needed]]-EDProj[[#This Row],[Tables Provided by the Vote Center]]),0)</f>
        <v>1</v>
      </c>
      <c r="Z69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70" spans="1:26" ht="13.9">
      <c r="A70" s="23" t="s">
        <v>294</v>
      </c>
      <c r="B70" s="24" t="s">
        <v>295</v>
      </c>
      <c r="C70" s="73" t="s">
        <v>390</v>
      </c>
      <c r="D70" s="25" t="s">
        <v>437</v>
      </c>
      <c r="E70" s="26" t="s">
        <v>438</v>
      </c>
      <c r="F70" s="92">
        <v>733</v>
      </c>
      <c r="G70" s="27">
        <v>4</v>
      </c>
      <c r="H70" s="27">
        <v>4</v>
      </c>
      <c r="I70" s="27">
        <v>10</v>
      </c>
      <c r="J70" s="27">
        <v>1</v>
      </c>
      <c r="K70" s="27">
        <v>0</v>
      </c>
      <c r="L70" s="27">
        <v>0</v>
      </c>
      <c r="M70" s="23">
        <f>SUM(EDProj[[#This Row],[★ Hard Case Voting Machines]:[★ Curbside (Rollie) Voting Machine]])</f>
        <v>11</v>
      </c>
      <c r="N70" s="23">
        <v>1</v>
      </c>
      <c r="O70" s="27">
        <v>6</v>
      </c>
      <c r="P70" s="23">
        <v>1</v>
      </c>
      <c r="Q70" s="23">
        <v>1</v>
      </c>
      <c r="R70" s="27">
        <f>EDProj[[#This Row],[★ Judge]]+EDProj[[#This Row],[★ Alt Judge]]+EDProj[[#This Row],[★ Clerks]]</f>
        <v>8</v>
      </c>
      <c r="S70" s="28">
        <v>1250</v>
      </c>
      <c r="T70" s="23">
        <f>EDProj[[#This Row],[★ Ballot Cards]]/250</f>
        <v>5</v>
      </c>
      <c r="U70" s="38">
        <f>EDProj[[#This Row],[★ Soft Case (ADA) Voting Machines]]+EDProj[[#This Row],[Old EPB Allocation]]</f>
        <v>5</v>
      </c>
      <c r="V70" s="38">
        <f>EDProj[[#This Row],[Tables Needed]]</f>
        <v>5</v>
      </c>
      <c r="W70" s="27">
        <v>20</v>
      </c>
      <c r="X70" s="27">
        <v>20</v>
      </c>
      <c r="Y70" s="23">
        <f>ROUNDUP(IF(EDProj[[#This Row],[Tables Needed]]-EDProj[[#This Row],[Tables Provided by the Vote Center]]&lt;0,0,EDProj[[#This Row],[Tables Needed]]-EDProj[[#This Row],[Tables Provided by the Vote Center]]),0)</f>
        <v>0</v>
      </c>
      <c r="Z70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71" spans="1:26" ht="13.9">
      <c r="A71" s="23" t="s">
        <v>294</v>
      </c>
      <c r="B71" s="24" t="s">
        <v>295</v>
      </c>
      <c r="C71" s="73" t="s">
        <v>390</v>
      </c>
      <c r="D71" s="25" t="s">
        <v>439</v>
      </c>
      <c r="E71" s="26" t="s">
        <v>440</v>
      </c>
      <c r="F71" s="92">
        <v>594</v>
      </c>
      <c r="G71" s="27">
        <v>4</v>
      </c>
      <c r="H71" s="27">
        <v>4</v>
      </c>
      <c r="I71" s="27">
        <v>9</v>
      </c>
      <c r="J71" s="27">
        <v>1</v>
      </c>
      <c r="K71" s="27">
        <v>0</v>
      </c>
      <c r="L71" s="27">
        <v>0</v>
      </c>
      <c r="M71" s="23">
        <f>SUM(EDProj[[#This Row],[★ Hard Case Voting Machines]:[★ Curbside (Rollie) Voting Machine]])</f>
        <v>10</v>
      </c>
      <c r="N71" s="23">
        <v>1</v>
      </c>
      <c r="O71" s="27">
        <v>6</v>
      </c>
      <c r="P71" s="23">
        <v>1</v>
      </c>
      <c r="Q71" s="23">
        <v>1</v>
      </c>
      <c r="R71" s="27">
        <f>EDProj[[#This Row],[★ Judge]]+EDProj[[#This Row],[★ Alt Judge]]+EDProj[[#This Row],[★ Clerks]]</f>
        <v>8</v>
      </c>
      <c r="S71" s="28">
        <v>1000</v>
      </c>
      <c r="T71" s="23">
        <f>EDProj[[#This Row],[★ Ballot Cards]]/250</f>
        <v>4</v>
      </c>
      <c r="U71" s="38">
        <f>EDProj[[#This Row],[★ Soft Case (ADA) Voting Machines]]+EDProj[[#This Row],[Old EPB Allocation]]</f>
        <v>5</v>
      </c>
      <c r="V71" s="38">
        <f>EDProj[[#This Row],[Tables Needed]]</f>
        <v>5</v>
      </c>
      <c r="W71" s="27">
        <v>10</v>
      </c>
      <c r="X71" s="27">
        <v>20</v>
      </c>
      <c r="Y71" s="23">
        <f>ROUNDUP(IF(EDProj[[#This Row],[Tables Needed]]-EDProj[[#This Row],[Tables Provided by the Vote Center]]&lt;0,0,EDProj[[#This Row],[Tables Needed]]-EDProj[[#This Row],[Tables Provided by the Vote Center]]),0)</f>
        <v>0</v>
      </c>
      <c r="Z71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72" spans="1:26" ht="13.9">
      <c r="A72" s="23" t="s">
        <v>294</v>
      </c>
      <c r="B72" s="24" t="s">
        <v>295</v>
      </c>
      <c r="C72" s="73" t="s">
        <v>390</v>
      </c>
      <c r="D72" s="30" t="s">
        <v>441</v>
      </c>
      <c r="E72" s="31" t="s">
        <v>442</v>
      </c>
      <c r="F72" s="93">
        <v>862</v>
      </c>
      <c r="G72" s="27">
        <v>4</v>
      </c>
      <c r="H72" s="27">
        <v>4</v>
      </c>
      <c r="I72" s="27">
        <v>11</v>
      </c>
      <c r="J72" s="27">
        <v>1</v>
      </c>
      <c r="K72" s="27">
        <v>0</v>
      </c>
      <c r="L72" s="27">
        <v>0</v>
      </c>
      <c r="M72" s="23">
        <f>SUM(EDProj[[#This Row],[★ Hard Case Voting Machines]:[★ Curbside (Rollie) Voting Machine]])</f>
        <v>12</v>
      </c>
      <c r="N72" s="23">
        <v>1</v>
      </c>
      <c r="O72" s="27">
        <v>6</v>
      </c>
      <c r="P72" s="27">
        <v>1</v>
      </c>
      <c r="Q72" s="23">
        <v>1</v>
      </c>
      <c r="R72" s="27">
        <f>EDProj[[#This Row],[★ Judge]]+EDProj[[#This Row],[★ Alt Judge]]+EDProj[[#This Row],[★ Clerks]]</f>
        <v>8</v>
      </c>
      <c r="S72" s="28">
        <v>1500</v>
      </c>
      <c r="T72" s="23">
        <f>EDProj[[#This Row],[★ Ballot Cards]]/250</f>
        <v>6</v>
      </c>
      <c r="U72" s="38">
        <f>EDProj[[#This Row],[★ Soft Case (ADA) Voting Machines]]+EDProj[[#This Row],[Old EPB Allocation]]</f>
        <v>5</v>
      </c>
      <c r="V72" s="38">
        <f>EDProj[[#This Row],[Tables Needed]]</f>
        <v>5</v>
      </c>
      <c r="W72" s="27">
        <v>0</v>
      </c>
      <c r="X72" s="27">
        <v>0</v>
      </c>
      <c r="Y72" s="23">
        <f>ROUNDUP(IF(EDProj[[#This Row],[Tables Needed]]-EDProj[[#This Row],[Tables Provided by the Vote Center]]&lt;0,0,EDProj[[#This Row],[Tables Needed]]-EDProj[[#This Row],[Tables Provided by the Vote Center]]),0)</f>
        <v>5</v>
      </c>
      <c r="Z72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73" spans="1:26" ht="13.9">
      <c r="A73" s="23" t="s">
        <v>113</v>
      </c>
      <c r="B73" s="24" t="s">
        <v>154</v>
      </c>
      <c r="C73" s="73" t="s">
        <v>390</v>
      </c>
      <c r="D73" s="25" t="s">
        <v>153</v>
      </c>
      <c r="E73" s="26" t="s">
        <v>155</v>
      </c>
      <c r="F73" s="92">
        <v>846</v>
      </c>
      <c r="G73" s="27">
        <v>4</v>
      </c>
      <c r="H73" s="27">
        <v>4</v>
      </c>
      <c r="I73" s="27">
        <v>8</v>
      </c>
      <c r="J73" s="27">
        <v>1</v>
      </c>
      <c r="K73" s="27">
        <v>1</v>
      </c>
      <c r="L73" s="27">
        <v>1</v>
      </c>
      <c r="M73" s="23">
        <f>SUM(EDProj[[#This Row],[★ Hard Case Voting Machines]:[★ Curbside (Rollie) Voting Machine]])</f>
        <v>11</v>
      </c>
      <c r="N73" s="23">
        <v>1</v>
      </c>
      <c r="O73" s="27">
        <v>6</v>
      </c>
      <c r="P73" s="27">
        <v>1</v>
      </c>
      <c r="Q73" s="23">
        <v>1</v>
      </c>
      <c r="R73" s="27">
        <f>EDProj[[#This Row],[★ Judge]]+EDProj[[#This Row],[★ Alt Judge]]+EDProj[[#This Row],[★ Clerks]]</f>
        <v>8</v>
      </c>
      <c r="S73" s="28">
        <v>1000</v>
      </c>
      <c r="T73" s="23">
        <f>EDProj[[#This Row],[★ Ballot Cards]]/250</f>
        <v>4</v>
      </c>
      <c r="U73" s="38">
        <f>EDProj[[#This Row],[★ Soft Case (ADA) Voting Machines]]+EDProj[[#This Row],[Old EPB Allocation]]</f>
        <v>5</v>
      </c>
      <c r="V73" s="38">
        <f>EDProj[[#This Row],[Tables Needed]]</f>
        <v>5</v>
      </c>
      <c r="W73" s="27">
        <v>0</v>
      </c>
      <c r="X73" s="27">
        <v>0</v>
      </c>
      <c r="Y73" s="23">
        <f>ROUNDUP(IF(EDProj[[#This Row],[Tables Needed]]-EDProj[[#This Row],[Tables Provided by the Vote Center]]&lt;0,0,EDProj[[#This Row],[Tables Needed]]-EDProj[[#This Row],[Tables Provided by the Vote Center]]),0)</f>
        <v>5</v>
      </c>
      <c r="Z73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74" spans="1:26" ht="13.9">
      <c r="A74" s="23" t="s">
        <v>113</v>
      </c>
      <c r="B74" s="24" t="s">
        <v>178</v>
      </c>
      <c r="C74" s="73" t="s">
        <v>390</v>
      </c>
      <c r="D74" s="25" t="s">
        <v>177</v>
      </c>
      <c r="E74" s="26" t="s">
        <v>179</v>
      </c>
      <c r="F74" s="92">
        <v>1218</v>
      </c>
      <c r="G74" s="27">
        <v>4.5</v>
      </c>
      <c r="H74" s="27">
        <v>5</v>
      </c>
      <c r="I74" s="27">
        <v>11</v>
      </c>
      <c r="J74" s="27">
        <v>1</v>
      </c>
      <c r="K74" s="27">
        <v>1</v>
      </c>
      <c r="L74" s="27">
        <v>1</v>
      </c>
      <c r="M74" s="23">
        <f>SUM(EDProj[[#This Row],[★ Hard Case Voting Machines]:[★ Curbside (Rollie) Voting Machine]])</f>
        <v>14</v>
      </c>
      <c r="N74" s="23">
        <v>1</v>
      </c>
      <c r="O74" s="27">
        <v>7</v>
      </c>
      <c r="P74" s="27">
        <v>1</v>
      </c>
      <c r="Q74" s="23">
        <v>1</v>
      </c>
      <c r="R74" s="27">
        <f>EDProj[[#This Row],[★ Judge]]+EDProj[[#This Row],[★ Alt Judge]]+EDProj[[#This Row],[★ Clerks]]</f>
        <v>9</v>
      </c>
      <c r="S74" s="28">
        <v>1500</v>
      </c>
      <c r="T74" s="23">
        <f>EDProj[[#This Row],[★ Ballot Cards]]/250</f>
        <v>6</v>
      </c>
      <c r="U74" s="38">
        <f>EDProj[[#This Row],[★ Soft Case (ADA) Voting Machines]]+EDProj[[#This Row],[Old EPB Allocation]]</f>
        <v>5.5</v>
      </c>
      <c r="V74" s="38">
        <f>EDProj[[#This Row],[Tables Needed]]</f>
        <v>5.5</v>
      </c>
      <c r="W74" s="27">
        <v>0</v>
      </c>
      <c r="X74" s="27">
        <v>0</v>
      </c>
      <c r="Y74" s="23">
        <f>ROUNDUP(IF(EDProj[[#This Row],[Tables Needed]]-EDProj[[#This Row],[Tables Provided by the Vote Center]]&lt;0,0,EDProj[[#This Row],[Tables Needed]]-EDProj[[#This Row],[Tables Provided by the Vote Center]]),0)</f>
        <v>6</v>
      </c>
      <c r="Z74" s="23">
        <f>ROUNDUP(IF(EDProj[[#This Row],[Chairs Needed]]-EDProj[[#This Row],[Chairs Provided by the Vote Center]]&lt;0,0,EDProj[[#This Row],[Chairs Needed]]-EDProj[[#This Row],[Chairs Provided by the Vote Center]]),0)</f>
        <v>6</v>
      </c>
    </row>
    <row r="75" spans="1:26" ht="13.9">
      <c r="A75" s="23" t="s">
        <v>294</v>
      </c>
      <c r="B75" s="24" t="s">
        <v>295</v>
      </c>
      <c r="C75" s="73" t="s">
        <v>390</v>
      </c>
      <c r="D75" s="25" t="s">
        <v>443</v>
      </c>
      <c r="E75" s="26" t="s">
        <v>444</v>
      </c>
      <c r="F75" s="92">
        <v>980</v>
      </c>
      <c r="G75" s="27">
        <v>4</v>
      </c>
      <c r="H75" s="27">
        <v>4</v>
      </c>
      <c r="I75" s="27">
        <v>11</v>
      </c>
      <c r="J75" s="27">
        <v>1</v>
      </c>
      <c r="K75" s="27">
        <v>0</v>
      </c>
      <c r="L75" s="27">
        <v>0</v>
      </c>
      <c r="M75" s="23">
        <f>SUM(EDProj[[#This Row],[★ Hard Case Voting Machines]:[★ Curbside (Rollie) Voting Machine]])</f>
        <v>12</v>
      </c>
      <c r="N75" s="23">
        <v>1</v>
      </c>
      <c r="O75" s="27">
        <v>7</v>
      </c>
      <c r="P75" s="23">
        <v>1</v>
      </c>
      <c r="Q75" s="23">
        <v>1</v>
      </c>
      <c r="R75" s="27">
        <f>EDProj[[#This Row],[★ Judge]]+EDProj[[#This Row],[★ Alt Judge]]+EDProj[[#This Row],[★ Clerks]]</f>
        <v>9</v>
      </c>
      <c r="S75" s="28">
        <v>1750</v>
      </c>
      <c r="T75" s="23">
        <f>EDProj[[#This Row],[★ Ballot Cards]]/250</f>
        <v>7</v>
      </c>
      <c r="U75" s="38">
        <f>EDProj[[#This Row],[★ Soft Case (ADA) Voting Machines]]+EDProj[[#This Row],[Old EPB Allocation]]</f>
        <v>5</v>
      </c>
      <c r="V75" s="38">
        <f>EDProj[[#This Row],[Tables Needed]]</f>
        <v>5</v>
      </c>
      <c r="W75" s="27">
        <v>10</v>
      </c>
      <c r="X75" s="27">
        <v>10</v>
      </c>
      <c r="Y75" s="23">
        <f>ROUNDUP(IF(EDProj[[#This Row],[Tables Needed]]-EDProj[[#This Row],[Tables Provided by the Vote Center]]&lt;0,0,EDProj[[#This Row],[Tables Needed]]-EDProj[[#This Row],[Tables Provided by the Vote Center]]),0)</f>
        <v>0</v>
      </c>
      <c r="Z75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76" spans="1:26" ht="13.9">
      <c r="A76" s="23" t="s">
        <v>294</v>
      </c>
      <c r="B76" s="24" t="s">
        <v>295</v>
      </c>
      <c r="C76" s="73" t="s">
        <v>390</v>
      </c>
      <c r="D76" s="25" t="s">
        <v>445</v>
      </c>
      <c r="E76" s="26" t="s">
        <v>446</v>
      </c>
      <c r="F76" s="92">
        <v>346</v>
      </c>
      <c r="G76" s="27">
        <v>4</v>
      </c>
      <c r="H76" s="27">
        <v>4</v>
      </c>
      <c r="I76" s="27">
        <v>4</v>
      </c>
      <c r="J76" s="27">
        <v>1</v>
      </c>
      <c r="K76" s="27">
        <v>0</v>
      </c>
      <c r="L76" s="27">
        <v>0</v>
      </c>
      <c r="M76" s="23">
        <f>SUM(EDProj[[#This Row],[★ Hard Case Voting Machines]:[★ Curbside (Rollie) Voting Machine]])</f>
        <v>5</v>
      </c>
      <c r="N76" s="23">
        <v>1</v>
      </c>
      <c r="O76" s="27">
        <v>5</v>
      </c>
      <c r="P76" s="23">
        <v>1</v>
      </c>
      <c r="Q76" s="23">
        <v>1</v>
      </c>
      <c r="R76" s="27">
        <f>EDProj[[#This Row],[★ Judge]]+EDProj[[#This Row],[★ Alt Judge]]+EDProj[[#This Row],[★ Clerks]]</f>
        <v>7</v>
      </c>
      <c r="S76" s="28">
        <v>750</v>
      </c>
      <c r="T76" s="23">
        <f>EDProj[[#This Row],[★ Ballot Cards]]/250</f>
        <v>3</v>
      </c>
      <c r="U76" s="38">
        <f>EDProj[[#This Row],[★ Soft Case (ADA) Voting Machines]]+EDProj[[#This Row],[Old EPB Allocation]]</f>
        <v>5</v>
      </c>
      <c r="V76" s="38">
        <f>EDProj[[#This Row],[Tables Needed]]</f>
        <v>5</v>
      </c>
      <c r="W76" s="27">
        <v>2</v>
      </c>
      <c r="X76" s="27">
        <v>10</v>
      </c>
      <c r="Y76" s="23">
        <f>ROUNDUP(IF(EDProj[[#This Row],[Tables Needed]]-EDProj[[#This Row],[Tables Provided by the Vote Center]]&lt;0,0,EDProj[[#This Row],[Tables Needed]]-EDProj[[#This Row],[Tables Provided by the Vote Center]]),0)</f>
        <v>3</v>
      </c>
      <c r="Z76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77" spans="1:26" ht="13.9">
      <c r="A77" s="23" t="s">
        <v>294</v>
      </c>
      <c r="B77" s="24" t="s">
        <v>295</v>
      </c>
      <c r="C77" s="73" t="s">
        <v>390</v>
      </c>
      <c r="D77" s="25" t="s">
        <v>447</v>
      </c>
      <c r="E77" s="26" t="s">
        <v>448</v>
      </c>
      <c r="F77" s="92">
        <v>649</v>
      </c>
      <c r="G77" s="27">
        <v>4</v>
      </c>
      <c r="H77" s="27">
        <v>4</v>
      </c>
      <c r="I77" s="27">
        <v>9</v>
      </c>
      <c r="J77" s="27">
        <v>1</v>
      </c>
      <c r="K77" s="27">
        <v>0</v>
      </c>
      <c r="L77" s="27">
        <v>0</v>
      </c>
      <c r="M77" s="23">
        <f>SUM(EDProj[[#This Row],[★ Hard Case Voting Machines]:[★ Curbside (Rollie) Voting Machine]])</f>
        <v>10</v>
      </c>
      <c r="N77" s="23">
        <v>1</v>
      </c>
      <c r="O77" s="27">
        <v>6</v>
      </c>
      <c r="P77" s="27">
        <v>1</v>
      </c>
      <c r="Q77" s="23">
        <v>1</v>
      </c>
      <c r="R77" s="27">
        <f>EDProj[[#This Row],[★ Judge]]+EDProj[[#This Row],[★ Alt Judge]]+EDProj[[#This Row],[★ Clerks]]</f>
        <v>8</v>
      </c>
      <c r="S77" s="28">
        <v>1250</v>
      </c>
      <c r="T77" s="23">
        <f>EDProj[[#This Row],[★ Ballot Cards]]/250</f>
        <v>5</v>
      </c>
      <c r="U77" s="38">
        <f>EDProj[[#This Row],[★ Soft Case (ADA) Voting Machines]]+EDProj[[#This Row],[Old EPB Allocation]]</f>
        <v>5</v>
      </c>
      <c r="V77" s="38">
        <f>EDProj[[#This Row],[Tables Needed]]</f>
        <v>5</v>
      </c>
      <c r="W77" s="27">
        <v>0</v>
      </c>
      <c r="X77" s="27">
        <v>0</v>
      </c>
      <c r="Y77" s="23">
        <f>ROUNDUP(IF(EDProj[[#This Row],[Tables Needed]]-EDProj[[#This Row],[Tables Provided by the Vote Center]]&lt;0,0,EDProj[[#This Row],[Tables Needed]]-EDProj[[#This Row],[Tables Provided by the Vote Center]]),0)</f>
        <v>5</v>
      </c>
      <c r="Z77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78" spans="1:26" ht="13.9">
      <c r="A78" s="23" t="s">
        <v>294</v>
      </c>
      <c r="B78" s="24" t="s">
        <v>295</v>
      </c>
      <c r="C78" s="73" t="s">
        <v>390</v>
      </c>
      <c r="D78" s="25" t="s">
        <v>449</v>
      </c>
      <c r="E78" s="26" t="s">
        <v>450</v>
      </c>
      <c r="F78" s="92">
        <v>543</v>
      </c>
      <c r="G78" s="27">
        <v>4</v>
      </c>
      <c r="H78" s="27">
        <v>4</v>
      </c>
      <c r="I78" s="27">
        <v>8</v>
      </c>
      <c r="J78" s="27">
        <v>1</v>
      </c>
      <c r="K78" s="27">
        <v>0</v>
      </c>
      <c r="L78" s="27">
        <v>0</v>
      </c>
      <c r="M78" s="23">
        <f>SUM(EDProj[[#This Row],[★ Hard Case Voting Machines]:[★ Curbside (Rollie) Voting Machine]])</f>
        <v>9</v>
      </c>
      <c r="N78" s="23">
        <v>1</v>
      </c>
      <c r="O78" s="27">
        <v>6</v>
      </c>
      <c r="P78" s="27">
        <v>1</v>
      </c>
      <c r="Q78" s="23">
        <v>1</v>
      </c>
      <c r="R78" s="27">
        <f>EDProj[[#This Row],[★ Judge]]+EDProj[[#This Row],[★ Alt Judge]]+EDProj[[#This Row],[★ Clerks]]</f>
        <v>8</v>
      </c>
      <c r="S78" s="28">
        <v>1000</v>
      </c>
      <c r="T78" s="23">
        <f>EDProj[[#This Row],[★ Ballot Cards]]/250</f>
        <v>4</v>
      </c>
      <c r="U78" s="38">
        <f>EDProj[[#This Row],[★ Soft Case (ADA) Voting Machines]]+EDProj[[#This Row],[Old EPB Allocation]]</f>
        <v>5</v>
      </c>
      <c r="V78" s="38">
        <f>EDProj[[#This Row],[Tables Needed]]</f>
        <v>5</v>
      </c>
      <c r="W78" s="27">
        <v>0</v>
      </c>
      <c r="X78" s="27">
        <v>0</v>
      </c>
      <c r="Y78" s="23">
        <f>ROUNDUP(IF(EDProj[[#This Row],[Tables Needed]]-EDProj[[#This Row],[Tables Provided by the Vote Center]]&lt;0,0,EDProj[[#This Row],[Tables Needed]]-EDProj[[#This Row],[Tables Provided by the Vote Center]]),0)</f>
        <v>5</v>
      </c>
      <c r="Z78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79" spans="1:26" ht="13.9">
      <c r="A79" s="23" t="s">
        <v>294</v>
      </c>
      <c r="B79" s="24" t="s">
        <v>295</v>
      </c>
      <c r="C79" s="73" t="s">
        <v>390</v>
      </c>
      <c r="D79" s="25" t="s">
        <v>451</v>
      </c>
      <c r="E79" s="26" t="s">
        <v>452</v>
      </c>
      <c r="F79" s="92">
        <v>351</v>
      </c>
      <c r="G79" s="27">
        <v>4</v>
      </c>
      <c r="H79" s="27">
        <v>4</v>
      </c>
      <c r="I79" s="27">
        <v>6</v>
      </c>
      <c r="J79" s="27">
        <v>1</v>
      </c>
      <c r="K79" s="27">
        <v>0</v>
      </c>
      <c r="L79" s="27">
        <v>0</v>
      </c>
      <c r="M79" s="23">
        <f>SUM(EDProj[[#This Row],[★ Hard Case Voting Machines]:[★ Curbside (Rollie) Voting Machine]])</f>
        <v>7</v>
      </c>
      <c r="N79" s="23">
        <v>1</v>
      </c>
      <c r="O79" s="27">
        <v>5</v>
      </c>
      <c r="P79" s="27">
        <v>1</v>
      </c>
      <c r="Q79" s="23">
        <v>1</v>
      </c>
      <c r="R79" s="27">
        <f>EDProj[[#This Row],[★ Judge]]+EDProj[[#This Row],[★ Alt Judge]]+EDProj[[#This Row],[★ Clerks]]</f>
        <v>7</v>
      </c>
      <c r="S79" s="28">
        <v>750</v>
      </c>
      <c r="T79" s="23">
        <f>EDProj[[#This Row],[★ Ballot Cards]]/250</f>
        <v>3</v>
      </c>
      <c r="U79" s="38">
        <f>EDProj[[#This Row],[★ Soft Case (ADA) Voting Machines]]+EDProj[[#This Row],[Old EPB Allocation]]</f>
        <v>5</v>
      </c>
      <c r="V79" s="38">
        <f>EDProj[[#This Row],[Tables Needed]]</f>
        <v>5</v>
      </c>
      <c r="W79" s="27">
        <v>0</v>
      </c>
      <c r="X79" s="27">
        <v>0</v>
      </c>
      <c r="Y79" s="23">
        <f>ROUNDUP(IF(EDProj[[#This Row],[Tables Needed]]-EDProj[[#This Row],[Tables Provided by the Vote Center]]&lt;0,0,EDProj[[#This Row],[Tables Needed]]-EDProj[[#This Row],[Tables Provided by the Vote Center]]),0)</f>
        <v>5</v>
      </c>
      <c r="Z79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80" spans="1:26" ht="13.9">
      <c r="A80" s="23" t="s">
        <v>294</v>
      </c>
      <c r="B80" s="24" t="s">
        <v>295</v>
      </c>
      <c r="C80" s="73" t="s">
        <v>390</v>
      </c>
      <c r="D80" s="25" t="s">
        <v>453</v>
      </c>
      <c r="E80" s="26" t="s">
        <v>454</v>
      </c>
      <c r="F80" s="92">
        <v>404</v>
      </c>
      <c r="G80" s="27">
        <v>4</v>
      </c>
      <c r="H80" s="27">
        <v>4</v>
      </c>
      <c r="I80" s="27">
        <v>6</v>
      </c>
      <c r="J80" s="27">
        <v>1</v>
      </c>
      <c r="K80" s="27">
        <v>0</v>
      </c>
      <c r="L80" s="27">
        <v>0</v>
      </c>
      <c r="M80" s="23">
        <f>SUM(EDProj[[#This Row],[★ Hard Case Voting Machines]:[★ Curbside (Rollie) Voting Machine]])</f>
        <v>7</v>
      </c>
      <c r="N80" s="23">
        <v>1</v>
      </c>
      <c r="O80" s="27">
        <v>5</v>
      </c>
      <c r="P80" s="27">
        <v>1</v>
      </c>
      <c r="Q80" s="23">
        <v>1</v>
      </c>
      <c r="R80" s="27">
        <f>EDProj[[#This Row],[★ Judge]]+EDProj[[#This Row],[★ Alt Judge]]+EDProj[[#This Row],[★ Clerks]]</f>
        <v>7</v>
      </c>
      <c r="S80" s="28">
        <v>750</v>
      </c>
      <c r="T80" s="23">
        <f>EDProj[[#This Row],[★ Ballot Cards]]/250</f>
        <v>3</v>
      </c>
      <c r="U80" s="38">
        <f>EDProj[[#This Row],[★ Soft Case (ADA) Voting Machines]]+EDProj[[#This Row],[Old EPB Allocation]]</f>
        <v>5</v>
      </c>
      <c r="V80" s="38">
        <f>EDProj[[#This Row],[Tables Needed]]</f>
        <v>5</v>
      </c>
      <c r="W80" s="27">
        <v>0</v>
      </c>
      <c r="X80" s="27">
        <v>0</v>
      </c>
      <c r="Y80" s="23">
        <f>ROUNDUP(IF(EDProj[[#This Row],[Tables Needed]]-EDProj[[#This Row],[Tables Provided by the Vote Center]]&lt;0,0,EDProj[[#This Row],[Tables Needed]]-EDProj[[#This Row],[Tables Provided by the Vote Center]]),0)</f>
        <v>5</v>
      </c>
      <c r="Z80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81" spans="1:26" ht="13.9">
      <c r="A81" s="23" t="s">
        <v>294</v>
      </c>
      <c r="B81" s="24" t="s">
        <v>295</v>
      </c>
      <c r="C81" s="73" t="s">
        <v>390</v>
      </c>
      <c r="D81" s="25" t="s">
        <v>455</v>
      </c>
      <c r="E81" s="26" t="s">
        <v>456</v>
      </c>
      <c r="F81" s="92">
        <v>679</v>
      </c>
      <c r="G81" s="27">
        <v>4</v>
      </c>
      <c r="H81" s="27">
        <v>4</v>
      </c>
      <c r="I81" s="27">
        <v>10</v>
      </c>
      <c r="J81" s="27">
        <v>1</v>
      </c>
      <c r="K81" s="27">
        <v>0</v>
      </c>
      <c r="L81" s="27">
        <v>0</v>
      </c>
      <c r="M81" s="23">
        <f>SUM(EDProj[[#This Row],[★ Hard Case Voting Machines]:[★ Curbside (Rollie) Voting Machine]])</f>
        <v>11</v>
      </c>
      <c r="N81" s="23">
        <v>1</v>
      </c>
      <c r="O81" s="27">
        <v>6</v>
      </c>
      <c r="P81" s="27">
        <v>1</v>
      </c>
      <c r="Q81" s="23">
        <v>1</v>
      </c>
      <c r="R81" s="27">
        <f>EDProj[[#This Row],[★ Judge]]+EDProj[[#This Row],[★ Alt Judge]]+EDProj[[#This Row],[★ Clerks]]</f>
        <v>8</v>
      </c>
      <c r="S81" s="28">
        <v>1250</v>
      </c>
      <c r="T81" s="23">
        <f>EDProj[[#This Row],[★ Ballot Cards]]/250</f>
        <v>5</v>
      </c>
      <c r="U81" s="38">
        <f>EDProj[[#This Row],[★ Soft Case (ADA) Voting Machines]]+EDProj[[#This Row],[Old EPB Allocation]]</f>
        <v>5</v>
      </c>
      <c r="V81" s="38">
        <f>EDProj[[#This Row],[Tables Needed]]</f>
        <v>5</v>
      </c>
      <c r="W81" s="27">
        <v>0</v>
      </c>
      <c r="X81" s="27">
        <v>0</v>
      </c>
      <c r="Y81" s="23">
        <f>ROUNDUP(IF(EDProj[[#This Row],[Tables Needed]]-EDProj[[#This Row],[Tables Provided by the Vote Center]]&lt;0,0,EDProj[[#This Row],[Tables Needed]]-EDProj[[#This Row],[Tables Provided by the Vote Center]]),0)</f>
        <v>5</v>
      </c>
      <c r="Z81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82" spans="1:26" ht="13.9">
      <c r="A82" s="23" t="s">
        <v>294</v>
      </c>
      <c r="B82" s="24" t="s">
        <v>295</v>
      </c>
      <c r="C82" s="73" t="s">
        <v>390</v>
      </c>
      <c r="D82" s="25" t="s">
        <v>457</v>
      </c>
      <c r="E82" s="26" t="s">
        <v>458</v>
      </c>
      <c r="F82" s="92">
        <v>272</v>
      </c>
      <c r="G82" s="27">
        <v>4</v>
      </c>
      <c r="H82" s="27">
        <v>4</v>
      </c>
      <c r="I82" s="27">
        <v>4</v>
      </c>
      <c r="J82" s="27">
        <v>1</v>
      </c>
      <c r="K82" s="27">
        <v>0</v>
      </c>
      <c r="L82" s="27">
        <v>0</v>
      </c>
      <c r="M82" s="23">
        <f>SUM(EDProj[[#This Row],[★ Hard Case Voting Machines]:[★ Curbside (Rollie) Voting Machine]])</f>
        <v>5</v>
      </c>
      <c r="N82" s="23">
        <v>1</v>
      </c>
      <c r="O82" s="27">
        <v>5</v>
      </c>
      <c r="P82" s="27">
        <v>1</v>
      </c>
      <c r="Q82" s="23">
        <v>1</v>
      </c>
      <c r="R82" s="27">
        <f>EDProj[[#This Row],[★ Judge]]+EDProj[[#This Row],[★ Alt Judge]]+EDProj[[#This Row],[★ Clerks]]</f>
        <v>7</v>
      </c>
      <c r="S82" s="28">
        <v>500</v>
      </c>
      <c r="T82" s="23">
        <f>EDProj[[#This Row],[★ Ballot Cards]]/250</f>
        <v>2</v>
      </c>
      <c r="U82" s="38">
        <f>EDProj[[#This Row],[★ Soft Case (ADA) Voting Machines]]+EDProj[[#This Row],[Old EPB Allocation]]</f>
        <v>5</v>
      </c>
      <c r="V82" s="38">
        <f>EDProj[[#This Row],[Tables Needed]]</f>
        <v>5</v>
      </c>
      <c r="W82" s="27">
        <v>0</v>
      </c>
      <c r="X82" s="27">
        <v>0</v>
      </c>
      <c r="Y82" s="23">
        <f>ROUNDUP(IF(EDProj[[#This Row],[Tables Needed]]-EDProj[[#This Row],[Tables Provided by the Vote Center]]&lt;0,0,EDProj[[#This Row],[Tables Needed]]-EDProj[[#This Row],[Tables Provided by the Vote Center]]),0)</f>
        <v>5</v>
      </c>
      <c r="Z82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83" spans="1:26" ht="13.9">
      <c r="A83" s="23" t="s">
        <v>294</v>
      </c>
      <c r="B83" s="24" t="s">
        <v>295</v>
      </c>
      <c r="C83" s="73" t="s">
        <v>390</v>
      </c>
      <c r="D83" s="25" t="s">
        <v>459</v>
      </c>
      <c r="E83" s="26" t="s">
        <v>460</v>
      </c>
      <c r="F83" s="92">
        <v>609</v>
      </c>
      <c r="G83" s="27">
        <v>4</v>
      </c>
      <c r="H83" s="27">
        <v>4</v>
      </c>
      <c r="I83" s="27">
        <v>9</v>
      </c>
      <c r="J83" s="27">
        <v>1</v>
      </c>
      <c r="K83" s="27">
        <v>0</v>
      </c>
      <c r="L83" s="27">
        <v>0</v>
      </c>
      <c r="M83" s="23">
        <f>SUM(EDProj[[#This Row],[★ Hard Case Voting Machines]:[★ Curbside (Rollie) Voting Machine]])</f>
        <v>10</v>
      </c>
      <c r="N83" s="23">
        <v>1</v>
      </c>
      <c r="O83" s="27">
        <v>6</v>
      </c>
      <c r="P83" s="27">
        <v>1</v>
      </c>
      <c r="Q83" s="23">
        <v>1</v>
      </c>
      <c r="R83" s="27">
        <f>EDProj[[#This Row],[★ Judge]]+EDProj[[#This Row],[★ Alt Judge]]+EDProj[[#This Row],[★ Clerks]]</f>
        <v>8</v>
      </c>
      <c r="S83" s="28">
        <v>1000</v>
      </c>
      <c r="T83" s="23">
        <f>EDProj[[#This Row],[★ Ballot Cards]]/250</f>
        <v>4</v>
      </c>
      <c r="U83" s="38">
        <f>EDProj[[#This Row],[★ Soft Case (ADA) Voting Machines]]+EDProj[[#This Row],[Old EPB Allocation]]</f>
        <v>5</v>
      </c>
      <c r="V83" s="38">
        <f>EDProj[[#This Row],[Tables Needed]]</f>
        <v>5</v>
      </c>
      <c r="W83" s="27">
        <v>0</v>
      </c>
      <c r="X83" s="27">
        <v>0</v>
      </c>
      <c r="Y83" s="23">
        <f>ROUNDUP(IF(EDProj[[#This Row],[Tables Needed]]-EDProj[[#This Row],[Tables Provided by the Vote Center]]&lt;0,0,EDProj[[#This Row],[Tables Needed]]-EDProj[[#This Row],[Tables Provided by the Vote Center]]),0)</f>
        <v>5</v>
      </c>
      <c r="Z83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84" spans="1:26" ht="13.9">
      <c r="A84" s="23" t="s">
        <v>294</v>
      </c>
      <c r="B84" s="24" t="s">
        <v>295</v>
      </c>
      <c r="C84" s="73" t="s">
        <v>390</v>
      </c>
      <c r="D84" s="25" t="s">
        <v>461</v>
      </c>
      <c r="E84" s="26" t="s">
        <v>462</v>
      </c>
      <c r="F84" s="92">
        <v>242</v>
      </c>
      <c r="G84" s="27">
        <v>4</v>
      </c>
      <c r="H84" s="27">
        <v>4</v>
      </c>
      <c r="I84" s="27">
        <v>3</v>
      </c>
      <c r="J84" s="27">
        <v>1</v>
      </c>
      <c r="K84" s="27">
        <v>0</v>
      </c>
      <c r="L84" s="27">
        <v>0</v>
      </c>
      <c r="M84" s="23">
        <f>SUM(EDProj[[#This Row],[★ Hard Case Voting Machines]:[★ Curbside (Rollie) Voting Machine]])</f>
        <v>4</v>
      </c>
      <c r="N84" s="23">
        <v>1</v>
      </c>
      <c r="O84" s="27">
        <v>4</v>
      </c>
      <c r="P84" s="27">
        <v>1</v>
      </c>
      <c r="Q84" s="23">
        <v>1</v>
      </c>
      <c r="R84" s="27">
        <f>EDProj[[#This Row],[★ Judge]]+EDProj[[#This Row],[★ Alt Judge]]+EDProj[[#This Row],[★ Clerks]]</f>
        <v>6</v>
      </c>
      <c r="S84" s="28">
        <v>500</v>
      </c>
      <c r="T84" s="23">
        <f>EDProj[[#This Row],[★ Ballot Cards]]/250</f>
        <v>2</v>
      </c>
      <c r="U84" s="38">
        <f>EDProj[[#This Row],[★ Soft Case (ADA) Voting Machines]]+EDProj[[#This Row],[Old EPB Allocation]]</f>
        <v>5</v>
      </c>
      <c r="V84" s="38">
        <f>EDProj[[#This Row],[Tables Needed]]</f>
        <v>5</v>
      </c>
      <c r="W84" s="27">
        <v>10</v>
      </c>
      <c r="X84" s="27">
        <v>20</v>
      </c>
      <c r="Y84" s="23">
        <f>ROUNDUP(IF(EDProj[[#This Row],[Tables Needed]]-EDProj[[#This Row],[Tables Provided by the Vote Center]]&lt;0,0,EDProj[[#This Row],[Tables Needed]]-EDProj[[#This Row],[Tables Provided by the Vote Center]]),0)</f>
        <v>0</v>
      </c>
      <c r="Z84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85" spans="1:26" ht="13.9">
      <c r="A85" s="23" t="s">
        <v>294</v>
      </c>
      <c r="B85" s="24" t="s">
        <v>295</v>
      </c>
      <c r="C85" s="73" t="s">
        <v>390</v>
      </c>
      <c r="D85" s="25" t="s">
        <v>463</v>
      </c>
      <c r="E85" s="26" t="s">
        <v>464</v>
      </c>
      <c r="F85" s="92">
        <v>307</v>
      </c>
      <c r="G85" s="27">
        <v>4</v>
      </c>
      <c r="H85" s="27">
        <v>4</v>
      </c>
      <c r="I85" s="27">
        <v>6</v>
      </c>
      <c r="J85" s="27">
        <v>1</v>
      </c>
      <c r="K85" s="27">
        <v>0</v>
      </c>
      <c r="L85" s="27">
        <v>0</v>
      </c>
      <c r="M85" s="23">
        <f>SUM(EDProj[[#This Row],[★ Hard Case Voting Machines]:[★ Curbside (Rollie) Voting Machine]])</f>
        <v>7</v>
      </c>
      <c r="N85" s="23">
        <v>1</v>
      </c>
      <c r="O85" s="27">
        <v>5</v>
      </c>
      <c r="P85" s="27">
        <v>1</v>
      </c>
      <c r="Q85" s="23">
        <v>1</v>
      </c>
      <c r="R85" s="27">
        <f>EDProj[[#This Row],[★ Judge]]+EDProj[[#This Row],[★ Alt Judge]]+EDProj[[#This Row],[★ Clerks]]</f>
        <v>7</v>
      </c>
      <c r="S85" s="28">
        <v>500</v>
      </c>
      <c r="T85" s="23">
        <f>EDProj[[#This Row],[★ Ballot Cards]]/250</f>
        <v>2</v>
      </c>
      <c r="U85" s="38">
        <f>EDProj[[#This Row],[★ Soft Case (ADA) Voting Machines]]+EDProj[[#This Row],[Old EPB Allocation]]</f>
        <v>5</v>
      </c>
      <c r="V85" s="38">
        <f>EDProj[[#This Row],[Tables Needed]]</f>
        <v>5</v>
      </c>
      <c r="W85" s="27">
        <v>0</v>
      </c>
      <c r="X85" s="27">
        <v>0</v>
      </c>
      <c r="Y85" s="23">
        <f>ROUNDUP(IF(EDProj[[#This Row],[Tables Needed]]-EDProj[[#This Row],[Tables Provided by the Vote Center]]&lt;0,0,EDProj[[#This Row],[Tables Needed]]-EDProj[[#This Row],[Tables Provided by the Vote Center]]),0)</f>
        <v>5</v>
      </c>
      <c r="Z85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86" spans="1:26" ht="13.9">
      <c r="A86" s="23" t="s">
        <v>294</v>
      </c>
      <c r="B86" s="24" t="s">
        <v>295</v>
      </c>
      <c r="C86" s="73" t="s">
        <v>390</v>
      </c>
      <c r="D86" s="25" t="s">
        <v>465</v>
      </c>
      <c r="E86" s="26" t="s">
        <v>466</v>
      </c>
      <c r="F86" s="92">
        <v>122</v>
      </c>
      <c r="G86" s="27">
        <v>4</v>
      </c>
      <c r="H86" s="27">
        <v>4</v>
      </c>
      <c r="I86" s="27">
        <v>2</v>
      </c>
      <c r="J86" s="27">
        <v>1</v>
      </c>
      <c r="K86" s="27">
        <v>0</v>
      </c>
      <c r="L86" s="27">
        <v>0</v>
      </c>
      <c r="M86" s="23">
        <f>SUM(EDProj[[#This Row],[★ Hard Case Voting Machines]:[★ Curbside (Rollie) Voting Machine]])</f>
        <v>3</v>
      </c>
      <c r="N86" s="23">
        <v>1</v>
      </c>
      <c r="O86" s="27">
        <v>4</v>
      </c>
      <c r="P86" s="27">
        <v>1</v>
      </c>
      <c r="Q86" s="23">
        <v>1</v>
      </c>
      <c r="R86" s="27">
        <f>EDProj[[#This Row],[★ Judge]]+EDProj[[#This Row],[★ Alt Judge]]+EDProj[[#This Row],[★ Clerks]]</f>
        <v>6</v>
      </c>
      <c r="S86" s="28">
        <v>500</v>
      </c>
      <c r="T86" s="23">
        <f>EDProj[[#This Row],[★ Ballot Cards]]/250</f>
        <v>2</v>
      </c>
      <c r="U86" s="38">
        <f>EDProj[[#This Row],[★ Soft Case (ADA) Voting Machines]]+EDProj[[#This Row],[Old EPB Allocation]]</f>
        <v>5</v>
      </c>
      <c r="V86" s="38">
        <f>EDProj[[#This Row],[Tables Needed]]</f>
        <v>5</v>
      </c>
      <c r="W86" s="27">
        <v>4</v>
      </c>
      <c r="X86" s="27">
        <v>10</v>
      </c>
      <c r="Y86" s="23">
        <f>ROUNDUP(IF(EDProj[[#This Row],[Tables Needed]]-EDProj[[#This Row],[Tables Provided by the Vote Center]]&lt;0,0,EDProj[[#This Row],[Tables Needed]]-EDProj[[#This Row],[Tables Provided by the Vote Center]]),0)</f>
        <v>1</v>
      </c>
      <c r="Z86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87" spans="1:26" ht="13.9">
      <c r="A87" s="23" t="s">
        <v>113</v>
      </c>
      <c r="B87" s="24" t="s">
        <v>312</v>
      </c>
      <c r="C87" s="73" t="s">
        <v>390</v>
      </c>
      <c r="D87" s="25" t="s">
        <v>311</v>
      </c>
      <c r="E87" s="26" t="s">
        <v>313</v>
      </c>
      <c r="F87" s="92">
        <v>1035</v>
      </c>
      <c r="G87" s="27">
        <v>4.5</v>
      </c>
      <c r="H87" s="27">
        <v>6</v>
      </c>
      <c r="I87" s="27">
        <v>11</v>
      </c>
      <c r="J87" s="27">
        <v>1</v>
      </c>
      <c r="K87" s="27">
        <v>1</v>
      </c>
      <c r="L87" s="27">
        <v>1</v>
      </c>
      <c r="M87" s="23">
        <f>SUM(EDProj[[#This Row],[★ Hard Case Voting Machines]:[★ Curbside (Rollie) Voting Machine]])</f>
        <v>14</v>
      </c>
      <c r="N87" s="23">
        <v>1</v>
      </c>
      <c r="O87" s="27">
        <v>8</v>
      </c>
      <c r="P87" s="27">
        <v>1</v>
      </c>
      <c r="Q87" s="23">
        <v>1</v>
      </c>
      <c r="R87" s="27">
        <f>EDProj[[#This Row],[★ Judge]]+EDProj[[#This Row],[★ Alt Judge]]+EDProj[[#This Row],[★ Clerks]]</f>
        <v>10</v>
      </c>
      <c r="S87" s="28">
        <v>1500</v>
      </c>
      <c r="T87" s="23">
        <f>EDProj[[#This Row],[★ Ballot Cards]]/250</f>
        <v>6</v>
      </c>
      <c r="U87" s="38">
        <f>EDProj[[#This Row],[★ Soft Case (ADA) Voting Machines]]+EDProj[[#This Row],[Old EPB Allocation]]</f>
        <v>5.5</v>
      </c>
      <c r="V87" s="38">
        <f>EDProj[[#This Row],[Tables Needed]]</f>
        <v>5.5</v>
      </c>
      <c r="W87" s="27">
        <v>0</v>
      </c>
      <c r="X87" s="27">
        <v>0</v>
      </c>
      <c r="Y87" s="23">
        <f>ROUNDUP(IF(EDProj[[#This Row],[Tables Needed]]-EDProj[[#This Row],[Tables Provided by the Vote Center]]&lt;0,0,EDProj[[#This Row],[Tables Needed]]-EDProj[[#This Row],[Tables Provided by the Vote Center]]),0)</f>
        <v>6</v>
      </c>
      <c r="Z87" s="23">
        <f>ROUNDUP(IF(EDProj[[#This Row],[Chairs Needed]]-EDProj[[#This Row],[Chairs Provided by the Vote Center]]&lt;0,0,EDProj[[#This Row],[Chairs Needed]]-EDProj[[#This Row],[Chairs Provided by the Vote Center]]),0)</f>
        <v>6</v>
      </c>
    </row>
    <row r="88" spans="1:26" ht="13.9">
      <c r="A88" s="23" t="s">
        <v>294</v>
      </c>
      <c r="B88" s="24" t="s">
        <v>295</v>
      </c>
      <c r="C88" s="73" t="s">
        <v>390</v>
      </c>
      <c r="D88" s="25" t="s">
        <v>467</v>
      </c>
      <c r="E88" s="26" t="s">
        <v>468</v>
      </c>
      <c r="F88" s="92">
        <v>178</v>
      </c>
      <c r="G88" s="27">
        <v>4</v>
      </c>
      <c r="H88" s="27">
        <v>4</v>
      </c>
      <c r="I88" s="27">
        <v>3</v>
      </c>
      <c r="J88" s="27">
        <v>1</v>
      </c>
      <c r="K88" s="27">
        <v>0</v>
      </c>
      <c r="L88" s="27">
        <v>0</v>
      </c>
      <c r="M88" s="23">
        <f>SUM(EDProj[[#This Row],[★ Hard Case Voting Machines]:[★ Curbside (Rollie) Voting Machine]])</f>
        <v>4</v>
      </c>
      <c r="N88" s="23">
        <v>1</v>
      </c>
      <c r="O88" s="27">
        <v>4</v>
      </c>
      <c r="P88" s="27">
        <v>1</v>
      </c>
      <c r="Q88" s="23">
        <v>1</v>
      </c>
      <c r="R88" s="27">
        <f>EDProj[[#This Row],[★ Judge]]+EDProj[[#This Row],[★ Alt Judge]]+EDProj[[#This Row],[★ Clerks]]</f>
        <v>6</v>
      </c>
      <c r="S88" s="28">
        <v>500</v>
      </c>
      <c r="T88" s="23">
        <f>EDProj[[#This Row],[★ Ballot Cards]]/250</f>
        <v>2</v>
      </c>
      <c r="U88" s="38">
        <f>EDProj[[#This Row],[★ Soft Case (ADA) Voting Machines]]+EDProj[[#This Row],[Old EPB Allocation]]</f>
        <v>5</v>
      </c>
      <c r="V88" s="38">
        <f>EDProj[[#This Row],[Tables Needed]]</f>
        <v>5</v>
      </c>
      <c r="W88" s="27">
        <v>0</v>
      </c>
      <c r="X88" s="27">
        <v>0</v>
      </c>
      <c r="Y88" s="23">
        <f>ROUNDUP(IF(EDProj[[#This Row],[Tables Needed]]-EDProj[[#This Row],[Tables Provided by the Vote Center]]&lt;0,0,EDProj[[#This Row],[Tables Needed]]-EDProj[[#This Row],[Tables Provided by the Vote Center]]),0)</f>
        <v>5</v>
      </c>
      <c r="Z88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89" spans="1:26" ht="13.9">
      <c r="A89" s="23" t="s">
        <v>294</v>
      </c>
      <c r="B89" s="24" t="s">
        <v>295</v>
      </c>
      <c r="C89" s="73" t="s">
        <v>390</v>
      </c>
      <c r="D89" s="25" t="s">
        <v>469</v>
      </c>
      <c r="E89" s="26" t="s">
        <v>470</v>
      </c>
      <c r="F89" s="92">
        <v>1115</v>
      </c>
      <c r="G89" s="27">
        <v>4</v>
      </c>
      <c r="H89" s="27">
        <v>4</v>
      </c>
      <c r="I89" s="27">
        <v>11</v>
      </c>
      <c r="J89" s="27">
        <v>1</v>
      </c>
      <c r="K89" s="27">
        <v>0</v>
      </c>
      <c r="L89" s="27">
        <v>0</v>
      </c>
      <c r="M89" s="23">
        <f>SUM(EDProj[[#This Row],[★ Hard Case Voting Machines]:[★ Curbside (Rollie) Voting Machine]])</f>
        <v>12</v>
      </c>
      <c r="N89" s="23">
        <v>1</v>
      </c>
      <c r="O89" s="27">
        <v>7</v>
      </c>
      <c r="P89" s="23">
        <v>1</v>
      </c>
      <c r="Q89" s="23">
        <v>1</v>
      </c>
      <c r="R89" s="27">
        <f>EDProj[[#This Row],[★ Judge]]+EDProj[[#This Row],[★ Alt Judge]]+EDProj[[#This Row],[★ Clerks]]</f>
        <v>9</v>
      </c>
      <c r="S89" s="28">
        <v>2000</v>
      </c>
      <c r="T89" s="23">
        <f>EDProj[[#This Row],[★ Ballot Cards]]/250</f>
        <v>8</v>
      </c>
      <c r="U89" s="38">
        <f>EDProj[[#This Row],[★ Soft Case (ADA) Voting Machines]]+EDProj[[#This Row],[Old EPB Allocation]]</f>
        <v>5</v>
      </c>
      <c r="V89" s="38">
        <f>EDProj[[#This Row],[Tables Needed]]</f>
        <v>5</v>
      </c>
      <c r="W89" s="27">
        <v>10</v>
      </c>
      <c r="X89" s="27">
        <v>50</v>
      </c>
      <c r="Y89" s="23">
        <f>ROUNDUP(IF(EDProj[[#This Row],[Tables Needed]]-EDProj[[#This Row],[Tables Provided by the Vote Center]]&lt;0,0,EDProj[[#This Row],[Tables Needed]]-EDProj[[#This Row],[Tables Provided by the Vote Center]]),0)</f>
        <v>0</v>
      </c>
      <c r="Z89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90" spans="1:26" ht="13.9">
      <c r="A90" s="23" t="s">
        <v>294</v>
      </c>
      <c r="B90" s="24" t="s">
        <v>295</v>
      </c>
      <c r="C90" s="73" t="s">
        <v>390</v>
      </c>
      <c r="D90" s="25" t="s">
        <v>471</v>
      </c>
      <c r="E90" s="26" t="s">
        <v>472</v>
      </c>
      <c r="F90" s="92">
        <v>327</v>
      </c>
      <c r="G90" s="27">
        <v>4</v>
      </c>
      <c r="H90" s="27">
        <v>4</v>
      </c>
      <c r="I90" s="27">
        <v>4</v>
      </c>
      <c r="J90" s="27">
        <v>1</v>
      </c>
      <c r="K90" s="27">
        <v>0</v>
      </c>
      <c r="L90" s="27">
        <v>0</v>
      </c>
      <c r="M90" s="23">
        <f>SUM(EDProj[[#This Row],[★ Hard Case Voting Machines]:[★ Curbside (Rollie) Voting Machine]])</f>
        <v>5</v>
      </c>
      <c r="N90" s="23">
        <v>1</v>
      </c>
      <c r="O90" s="27">
        <v>5</v>
      </c>
      <c r="P90" s="27">
        <v>1</v>
      </c>
      <c r="Q90" s="23">
        <v>1</v>
      </c>
      <c r="R90" s="27">
        <f>EDProj[[#This Row],[★ Judge]]+EDProj[[#This Row],[★ Alt Judge]]+EDProj[[#This Row],[★ Clerks]]</f>
        <v>7</v>
      </c>
      <c r="S90" s="28">
        <v>750</v>
      </c>
      <c r="T90" s="23">
        <f>EDProj[[#This Row],[★ Ballot Cards]]/250</f>
        <v>3</v>
      </c>
      <c r="U90" s="38">
        <f>EDProj[[#This Row],[★ Soft Case (ADA) Voting Machines]]+EDProj[[#This Row],[Old EPB Allocation]]</f>
        <v>5</v>
      </c>
      <c r="V90" s="38">
        <f>EDProj[[#This Row],[Tables Needed]]</f>
        <v>5</v>
      </c>
      <c r="W90" s="27">
        <v>4</v>
      </c>
      <c r="X90" s="27">
        <v>10</v>
      </c>
      <c r="Y90" s="23">
        <f>ROUNDUP(IF(EDProj[[#This Row],[Tables Needed]]-EDProj[[#This Row],[Tables Provided by the Vote Center]]&lt;0,0,EDProj[[#This Row],[Tables Needed]]-EDProj[[#This Row],[Tables Provided by the Vote Center]]),0)</f>
        <v>1</v>
      </c>
      <c r="Z90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91" spans="1:26" ht="13.9">
      <c r="A91" s="23" t="s">
        <v>294</v>
      </c>
      <c r="B91" s="24" t="s">
        <v>295</v>
      </c>
      <c r="C91" s="73" t="s">
        <v>390</v>
      </c>
      <c r="D91" s="25" t="s">
        <v>473</v>
      </c>
      <c r="E91" s="26" t="s">
        <v>474</v>
      </c>
      <c r="F91" s="92">
        <v>428</v>
      </c>
      <c r="G91" s="27">
        <v>4</v>
      </c>
      <c r="H91" s="27">
        <v>4</v>
      </c>
      <c r="I91" s="27">
        <v>7</v>
      </c>
      <c r="J91" s="27">
        <v>1</v>
      </c>
      <c r="K91" s="27">
        <v>0</v>
      </c>
      <c r="L91" s="27">
        <v>0</v>
      </c>
      <c r="M91" s="23">
        <f>SUM(EDProj[[#This Row],[★ Hard Case Voting Machines]:[★ Curbside (Rollie) Voting Machine]])</f>
        <v>8</v>
      </c>
      <c r="N91" s="23">
        <v>1</v>
      </c>
      <c r="O91" s="27">
        <v>5</v>
      </c>
      <c r="P91" s="27">
        <v>1</v>
      </c>
      <c r="Q91" s="23">
        <v>1</v>
      </c>
      <c r="R91" s="27">
        <f>EDProj[[#This Row],[★ Judge]]+EDProj[[#This Row],[★ Alt Judge]]+EDProj[[#This Row],[★ Clerks]]</f>
        <v>7</v>
      </c>
      <c r="S91" s="28">
        <v>750</v>
      </c>
      <c r="T91" s="23">
        <f>EDProj[[#This Row],[★ Ballot Cards]]/250</f>
        <v>3</v>
      </c>
      <c r="U91" s="38">
        <f>EDProj[[#This Row],[★ Soft Case (ADA) Voting Machines]]+EDProj[[#This Row],[Old EPB Allocation]]</f>
        <v>5</v>
      </c>
      <c r="V91" s="38">
        <f>EDProj[[#This Row],[Tables Needed]]</f>
        <v>5</v>
      </c>
      <c r="W91" s="27">
        <v>0</v>
      </c>
      <c r="X91" s="27">
        <v>0</v>
      </c>
      <c r="Y91" s="23">
        <f>ROUNDUP(IF(EDProj[[#This Row],[Tables Needed]]-EDProj[[#This Row],[Tables Provided by the Vote Center]]&lt;0,0,EDProj[[#This Row],[Tables Needed]]-EDProj[[#This Row],[Tables Provided by the Vote Center]]),0)</f>
        <v>5</v>
      </c>
      <c r="Z91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92" spans="1:26" ht="13.9">
      <c r="A92" s="23" t="s">
        <v>294</v>
      </c>
      <c r="B92" s="24" t="s">
        <v>295</v>
      </c>
      <c r="C92" s="73" t="s">
        <v>390</v>
      </c>
      <c r="D92" s="25" t="s">
        <v>475</v>
      </c>
      <c r="E92" s="26" t="s">
        <v>476</v>
      </c>
      <c r="F92" s="92">
        <v>476</v>
      </c>
      <c r="G92" s="27">
        <v>4</v>
      </c>
      <c r="H92" s="27">
        <v>4</v>
      </c>
      <c r="I92" s="27">
        <v>7</v>
      </c>
      <c r="J92" s="27">
        <v>1</v>
      </c>
      <c r="K92" s="27">
        <v>0</v>
      </c>
      <c r="L92" s="27">
        <v>0</v>
      </c>
      <c r="M92" s="23">
        <f>SUM(EDProj[[#This Row],[★ Hard Case Voting Machines]:[★ Curbside (Rollie) Voting Machine]])</f>
        <v>8</v>
      </c>
      <c r="N92" s="23">
        <v>1</v>
      </c>
      <c r="O92" s="27">
        <v>5</v>
      </c>
      <c r="P92" s="27">
        <v>1</v>
      </c>
      <c r="Q92" s="23">
        <v>1</v>
      </c>
      <c r="R92" s="27">
        <f>EDProj[[#This Row],[★ Judge]]+EDProj[[#This Row],[★ Alt Judge]]+EDProj[[#This Row],[★ Clerks]]</f>
        <v>7</v>
      </c>
      <c r="S92" s="28">
        <v>1000</v>
      </c>
      <c r="T92" s="23">
        <f>EDProj[[#This Row],[★ Ballot Cards]]/250</f>
        <v>4</v>
      </c>
      <c r="U92" s="38">
        <f>EDProj[[#This Row],[★ Soft Case (ADA) Voting Machines]]+EDProj[[#This Row],[Old EPB Allocation]]</f>
        <v>5</v>
      </c>
      <c r="V92" s="38">
        <f>EDProj[[#This Row],[Tables Needed]]</f>
        <v>5</v>
      </c>
      <c r="W92" s="27">
        <v>0</v>
      </c>
      <c r="X92" s="27">
        <v>0</v>
      </c>
      <c r="Y92" s="23">
        <f>ROUNDUP(IF(EDProj[[#This Row],[Tables Needed]]-EDProj[[#This Row],[Tables Provided by the Vote Center]]&lt;0,0,EDProj[[#This Row],[Tables Needed]]-EDProj[[#This Row],[Tables Provided by the Vote Center]]),0)</f>
        <v>5</v>
      </c>
      <c r="Z92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93" spans="1:26" ht="13.9">
      <c r="A93" s="23" t="s">
        <v>113</v>
      </c>
      <c r="B93" s="24" t="s">
        <v>208</v>
      </c>
      <c r="C93" s="73" t="s">
        <v>390</v>
      </c>
      <c r="D93" s="30" t="s">
        <v>207</v>
      </c>
      <c r="E93" s="31" t="s">
        <v>209</v>
      </c>
      <c r="F93" s="93">
        <v>95</v>
      </c>
      <c r="G93" s="27">
        <v>4</v>
      </c>
      <c r="H93" s="27">
        <v>4</v>
      </c>
      <c r="I93" s="27">
        <v>10</v>
      </c>
      <c r="J93" s="27">
        <v>1</v>
      </c>
      <c r="K93" s="27">
        <v>1</v>
      </c>
      <c r="L93" s="27">
        <v>1</v>
      </c>
      <c r="M93" s="23">
        <f>SUM(EDProj[[#This Row],[★ Hard Case Voting Machines]:[★ Curbside (Rollie) Voting Machine]])</f>
        <v>13</v>
      </c>
      <c r="N93" s="23">
        <v>1</v>
      </c>
      <c r="O93" s="27">
        <v>5</v>
      </c>
      <c r="P93" s="27">
        <v>1</v>
      </c>
      <c r="Q93" s="23">
        <v>1</v>
      </c>
      <c r="R93" s="27">
        <f>EDProj[[#This Row],[★ Judge]]+EDProj[[#This Row],[★ Alt Judge]]+EDProj[[#This Row],[★ Clerks]]</f>
        <v>7</v>
      </c>
      <c r="S93" s="28">
        <v>500</v>
      </c>
      <c r="T93" s="23">
        <f>EDProj[[#This Row],[★ Ballot Cards]]/250</f>
        <v>2</v>
      </c>
      <c r="U93" s="38">
        <f>EDProj[[#This Row],[★ Soft Case (ADA) Voting Machines]]+EDProj[[#This Row],[Old EPB Allocation]]</f>
        <v>5</v>
      </c>
      <c r="V93" s="38">
        <f>EDProj[[#This Row],[Tables Needed]]</f>
        <v>5</v>
      </c>
      <c r="W93" s="27">
        <v>0</v>
      </c>
      <c r="X93" s="27">
        <v>0</v>
      </c>
      <c r="Y93" s="23">
        <f>ROUNDUP(IF(EDProj[[#This Row],[Tables Needed]]-EDProj[[#This Row],[Tables Provided by the Vote Center]]&lt;0,0,EDProj[[#This Row],[Tables Needed]]-EDProj[[#This Row],[Tables Provided by the Vote Center]]),0)</f>
        <v>5</v>
      </c>
      <c r="Z93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94" spans="1:26" ht="13.9">
      <c r="A94" s="23" t="s">
        <v>294</v>
      </c>
      <c r="B94" s="24" t="s">
        <v>295</v>
      </c>
      <c r="C94" s="73" t="s">
        <v>390</v>
      </c>
      <c r="D94" s="25" t="s">
        <v>477</v>
      </c>
      <c r="E94" s="26" t="s">
        <v>478</v>
      </c>
      <c r="F94" s="92">
        <v>168</v>
      </c>
      <c r="G94" s="27">
        <v>4</v>
      </c>
      <c r="H94" s="27">
        <v>4</v>
      </c>
      <c r="I94" s="27">
        <v>2</v>
      </c>
      <c r="J94" s="27">
        <v>1</v>
      </c>
      <c r="K94" s="27">
        <v>0</v>
      </c>
      <c r="L94" s="27">
        <v>0</v>
      </c>
      <c r="M94" s="23">
        <f>SUM(EDProj[[#This Row],[★ Hard Case Voting Machines]:[★ Curbside (Rollie) Voting Machine]])</f>
        <v>3</v>
      </c>
      <c r="N94" s="23">
        <v>1</v>
      </c>
      <c r="O94" s="27">
        <v>4</v>
      </c>
      <c r="P94" s="27">
        <v>1</v>
      </c>
      <c r="Q94" s="23">
        <v>1</v>
      </c>
      <c r="R94" s="27">
        <f>EDProj[[#This Row],[★ Judge]]+EDProj[[#This Row],[★ Alt Judge]]+EDProj[[#This Row],[★ Clerks]]</f>
        <v>6</v>
      </c>
      <c r="S94" s="28">
        <v>500</v>
      </c>
      <c r="T94" s="23">
        <f>EDProj[[#This Row],[★ Ballot Cards]]/250</f>
        <v>2</v>
      </c>
      <c r="U94" s="38">
        <f>EDProj[[#This Row],[★ Soft Case (ADA) Voting Machines]]+EDProj[[#This Row],[Old EPB Allocation]]</f>
        <v>5</v>
      </c>
      <c r="V94" s="38">
        <f>EDProj[[#This Row],[Tables Needed]]</f>
        <v>5</v>
      </c>
      <c r="W94" s="27">
        <v>0</v>
      </c>
      <c r="X94" s="27">
        <v>0</v>
      </c>
      <c r="Y94" s="23">
        <f>ROUNDUP(IF(EDProj[[#This Row],[Tables Needed]]-EDProj[[#This Row],[Tables Provided by the Vote Center]]&lt;0,0,EDProj[[#This Row],[Tables Needed]]-EDProj[[#This Row],[Tables Provided by the Vote Center]]),0)</f>
        <v>5</v>
      </c>
      <c r="Z94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95" spans="1:26" ht="13.9">
      <c r="A95" s="23" t="s">
        <v>294</v>
      </c>
      <c r="B95" s="24" t="s">
        <v>295</v>
      </c>
      <c r="C95" s="73" t="s">
        <v>390</v>
      </c>
      <c r="D95" s="25" t="s">
        <v>479</v>
      </c>
      <c r="E95" s="26" t="s">
        <v>480</v>
      </c>
      <c r="F95" s="92">
        <v>400</v>
      </c>
      <c r="G95" s="27">
        <v>4</v>
      </c>
      <c r="H95" s="27">
        <v>4</v>
      </c>
      <c r="I95" s="27">
        <v>5</v>
      </c>
      <c r="J95" s="27">
        <v>1</v>
      </c>
      <c r="K95" s="27">
        <v>0</v>
      </c>
      <c r="L95" s="27">
        <v>0</v>
      </c>
      <c r="M95" s="23">
        <f>SUM(EDProj[[#This Row],[★ Hard Case Voting Machines]:[★ Curbside (Rollie) Voting Machine]])</f>
        <v>6</v>
      </c>
      <c r="N95" s="23">
        <v>1</v>
      </c>
      <c r="O95" s="27">
        <v>6</v>
      </c>
      <c r="P95" s="27">
        <v>1</v>
      </c>
      <c r="Q95" s="23">
        <v>1</v>
      </c>
      <c r="R95" s="27">
        <f>EDProj[[#This Row],[★ Judge]]+EDProj[[#This Row],[★ Alt Judge]]+EDProj[[#This Row],[★ Clerks]]</f>
        <v>8</v>
      </c>
      <c r="S95" s="28">
        <v>750</v>
      </c>
      <c r="T95" s="23">
        <f>EDProj[[#This Row],[★ Ballot Cards]]/250</f>
        <v>3</v>
      </c>
      <c r="U95" s="38">
        <f>EDProj[[#This Row],[★ Soft Case (ADA) Voting Machines]]+EDProj[[#This Row],[Old EPB Allocation]]</f>
        <v>5</v>
      </c>
      <c r="V95" s="38">
        <f>EDProj[[#This Row],[Tables Needed]]</f>
        <v>5</v>
      </c>
      <c r="W95" s="27">
        <v>10</v>
      </c>
      <c r="X95" s="27">
        <v>10</v>
      </c>
      <c r="Y95" s="23">
        <f>ROUNDUP(IF(EDProj[[#This Row],[Tables Needed]]-EDProj[[#This Row],[Tables Provided by the Vote Center]]&lt;0,0,EDProj[[#This Row],[Tables Needed]]-EDProj[[#This Row],[Tables Provided by the Vote Center]]),0)</f>
        <v>0</v>
      </c>
      <c r="Z95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96" spans="1:26" ht="13.9">
      <c r="A96" s="23" t="s">
        <v>113</v>
      </c>
      <c r="B96" s="24" t="s">
        <v>184</v>
      </c>
      <c r="C96" s="73" t="s">
        <v>390</v>
      </c>
      <c r="D96" s="30" t="s">
        <v>183</v>
      </c>
      <c r="E96" s="31" t="s">
        <v>185</v>
      </c>
      <c r="F96" s="93">
        <v>1083</v>
      </c>
      <c r="G96" s="27">
        <v>5</v>
      </c>
      <c r="H96" s="27">
        <v>5</v>
      </c>
      <c r="I96" s="27">
        <v>17</v>
      </c>
      <c r="J96" s="27">
        <v>1</v>
      </c>
      <c r="K96" s="27">
        <v>1</v>
      </c>
      <c r="L96" s="27">
        <v>1</v>
      </c>
      <c r="M96" s="23">
        <f>SUM(EDProj[[#This Row],[★ Hard Case Voting Machines]:[★ Curbside (Rollie) Voting Machine]])</f>
        <v>20</v>
      </c>
      <c r="N96" s="23">
        <v>1</v>
      </c>
      <c r="O96" s="27">
        <v>10</v>
      </c>
      <c r="P96" s="27">
        <v>1</v>
      </c>
      <c r="Q96" s="23">
        <v>1</v>
      </c>
      <c r="R96" s="27">
        <f>EDProj[[#This Row],[★ Judge]]+EDProj[[#This Row],[★ Alt Judge]]+EDProj[[#This Row],[★ Clerks]]</f>
        <v>12</v>
      </c>
      <c r="S96" s="28">
        <v>1250</v>
      </c>
      <c r="T96" s="23">
        <f>EDProj[[#This Row],[★ Ballot Cards]]/250</f>
        <v>5</v>
      </c>
      <c r="U96" s="38">
        <f>EDProj[[#This Row],[★ Soft Case (ADA) Voting Machines]]+EDProj[[#This Row],[Old EPB Allocation]]</f>
        <v>6</v>
      </c>
      <c r="V96" s="38">
        <f>EDProj[[#This Row],[Tables Needed]]</f>
        <v>6</v>
      </c>
      <c r="W96" s="27">
        <v>30</v>
      </c>
      <c r="X96" s="27">
        <v>250</v>
      </c>
      <c r="Y96" s="23">
        <f>ROUNDUP(IF(EDProj[[#This Row],[Tables Needed]]-EDProj[[#This Row],[Tables Provided by the Vote Center]]&lt;0,0,EDProj[[#This Row],[Tables Needed]]-EDProj[[#This Row],[Tables Provided by the Vote Center]]),0)</f>
        <v>0</v>
      </c>
      <c r="Z96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97" spans="1:26" ht="13.9">
      <c r="A97" s="23" t="s">
        <v>294</v>
      </c>
      <c r="B97" s="24" t="s">
        <v>295</v>
      </c>
      <c r="C97" s="73" t="s">
        <v>390</v>
      </c>
      <c r="D97" s="25" t="s">
        <v>481</v>
      </c>
      <c r="E97" s="26" t="s">
        <v>482</v>
      </c>
      <c r="F97" s="92">
        <v>211</v>
      </c>
      <c r="G97" s="27">
        <v>4</v>
      </c>
      <c r="H97" s="27">
        <v>4</v>
      </c>
      <c r="I97" s="27">
        <v>3</v>
      </c>
      <c r="J97" s="27">
        <v>1</v>
      </c>
      <c r="K97" s="27">
        <v>0</v>
      </c>
      <c r="L97" s="27">
        <v>0</v>
      </c>
      <c r="M97" s="23">
        <f>SUM(EDProj[[#This Row],[★ Hard Case Voting Machines]:[★ Curbside (Rollie) Voting Machine]])</f>
        <v>4</v>
      </c>
      <c r="N97" s="23">
        <v>1</v>
      </c>
      <c r="O97" s="27">
        <v>4</v>
      </c>
      <c r="P97" s="27">
        <v>1</v>
      </c>
      <c r="Q97" s="23">
        <v>1</v>
      </c>
      <c r="R97" s="27">
        <f>EDProj[[#This Row],[★ Judge]]+EDProj[[#This Row],[★ Alt Judge]]+EDProj[[#This Row],[★ Clerks]]</f>
        <v>6</v>
      </c>
      <c r="S97" s="28">
        <v>500</v>
      </c>
      <c r="T97" s="23">
        <f>EDProj[[#This Row],[★ Ballot Cards]]/250</f>
        <v>2</v>
      </c>
      <c r="U97" s="38">
        <f>EDProj[[#This Row],[★ Soft Case (ADA) Voting Machines]]+EDProj[[#This Row],[Old EPB Allocation]]</f>
        <v>5</v>
      </c>
      <c r="V97" s="38">
        <f>EDProj[[#This Row],[Tables Needed]]</f>
        <v>5</v>
      </c>
      <c r="W97" s="27">
        <v>10</v>
      </c>
      <c r="X97" s="27">
        <v>20</v>
      </c>
      <c r="Y97" s="23">
        <f>ROUNDUP(IF(EDProj[[#This Row],[Tables Needed]]-EDProj[[#This Row],[Tables Provided by the Vote Center]]&lt;0,0,EDProj[[#This Row],[Tables Needed]]-EDProj[[#This Row],[Tables Provided by the Vote Center]]),0)</f>
        <v>0</v>
      </c>
      <c r="Z97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98" spans="1:26" ht="13.9">
      <c r="A98" s="23" t="s">
        <v>294</v>
      </c>
      <c r="B98" s="24" t="s">
        <v>295</v>
      </c>
      <c r="C98" s="73" t="s">
        <v>390</v>
      </c>
      <c r="D98" s="25" t="s">
        <v>483</v>
      </c>
      <c r="E98" s="26" t="s">
        <v>484</v>
      </c>
      <c r="F98" s="92">
        <v>250</v>
      </c>
      <c r="G98" s="27">
        <v>4</v>
      </c>
      <c r="H98" s="27">
        <v>4</v>
      </c>
      <c r="I98" s="27">
        <v>4</v>
      </c>
      <c r="J98" s="27">
        <v>1</v>
      </c>
      <c r="K98" s="27">
        <v>0</v>
      </c>
      <c r="L98" s="27">
        <v>0</v>
      </c>
      <c r="M98" s="23">
        <f>SUM(EDProj[[#This Row],[★ Hard Case Voting Machines]:[★ Curbside (Rollie) Voting Machine]])</f>
        <v>5</v>
      </c>
      <c r="N98" s="23">
        <v>1</v>
      </c>
      <c r="O98" s="27">
        <v>5</v>
      </c>
      <c r="P98" s="27">
        <v>1</v>
      </c>
      <c r="Q98" s="23">
        <v>1</v>
      </c>
      <c r="R98" s="27">
        <f>EDProj[[#This Row],[★ Judge]]+EDProj[[#This Row],[★ Alt Judge]]+EDProj[[#This Row],[★ Clerks]]</f>
        <v>7</v>
      </c>
      <c r="S98" s="28">
        <v>500</v>
      </c>
      <c r="T98" s="23">
        <f>EDProj[[#This Row],[★ Ballot Cards]]/250</f>
        <v>2</v>
      </c>
      <c r="U98" s="38">
        <f>EDProj[[#This Row],[★ Soft Case (ADA) Voting Machines]]+EDProj[[#This Row],[Old EPB Allocation]]</f>
        <v>5</v>
      </c>
      <c r="V98" s="38">
        <f>EDProj[[#This Row],[Tables Needed]]</f>
        <v>5</v>
      </c>
      <c r="W98" s="27">
        <v>0</v>
      </c>
      <c r="X98" s="27">
        <v>0</v>
      </c>
      <c r="Y98" s="23">
        <f>ROUNDUP(IF(EDProj[[#This Row],[Tables Needed]]-EDProj[[#This Row],[Tables Provided by the Vote Center]]&lt;0,0,EDProj[[#This Row],[Tables Needed]]-EDProj[[#This Row],[Tables Provided by the Vote Center]]),0)</f>
        <v>5</v>
      </c>
      <c r="Z98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99" spans="1:26" ht="13.9">
      <c r="A99" s="23" t="s">
        <v>113</v>
      </c>
      <c r="B99" s="24" t="s">
        <v>202</v>
      </c>
      <c r="C99" s="73" t="s">
        <v>390</v>
      </c>
      <c r="D99" s="30" t="s">
        <v>201</v>
      </c>
      <c r="E99" s="31" t="s">
        <v>203</v>
      </c>
      <c r="F99" s="93">
        <v>3247</v>
      </c>
      <c r="G99" s="27">
        <v>6.333333333333333</v>
      </c>
      <c r="H99" s="27">
        <v>10</v>
      </c>
      <c r="I99" s="27">
        <v>20</v>
      </c>
      <c r="J99" s="27">
        <v>3</v>
      </c>
      <c r="K99" s="27">
        <v>2</v>
      </c>
      <c r="L99" s="27">
        <v>1</v>
      </c>
      <c r="M99" s="23">
        <f>SUM(EDProj[[#This Row],[★ Hard Case Voting Machines]:[★ Curbside (Rollie) Voting Machine]])</f>
        <v>26</v>
      </c>
      <c r="N99" s="23">
        <v>1</v>
      </c>
      <c r="O99" s="27">
        <v>18</v>
      </c>
      <c r="P99" s="27">
        <v>1</v>
      </c>
      <c r="Q99" s="23">
        <v>1</v>
      </c>
      <c r="R99" s="27">
        <f>EDProj[[#This Row],[★ Judge]]+EDProj[[#This Row],[★ Alt Judge]]+EDProj[[#This Row],[★ Clerks]]</f>
        <v>20</v>
      </c>
      <c r="S99" s="28">
        <v>5250</v>
      </c>
      <c r="T99" s="23">
        <f>EDProj[[#This Row],[★ Ballot Cards]]/250</f>
        <v>21</v>
      </c>
      <c r="U99" s="38">
        <f>EDProj[[#This Row],[★ Soft Case (ADA) Voting Machines]]+EDProj[[#This Row],[Old EPB Allocation]]</f>
        <v>9.3333333333333321</v>
      </c>
      <c r="V99" s="38">
        <f>EDProj[[#This Row],[Tables Needed]]</f>
        <v>9.3333333333333321</v>
      </c>
      <c r="W99" s="27">
        <v>12</v>
      </c>
      <c r="X99" s="27">
        <v>6</v>
      </c>
      <c r="Y99" s="23">
        <f>ROUNDUP(IF(EDProj[[#This Row],[Tables Needed]]-EDProj[[#This Row],[Tables Provided by the Vote Center]]&lt;0,0,EDProj[[#This Row],[Tables Needed]]-EDProj[[#This Row],[Tables Provided by the Vote Center]]),0)</f>
        <v>0</v>
      </c>
      <c r="Z99" s="23">
        <f>ROUNDUP(IF(EDProj[[#This Row],[Chairs Needed]]-EDProj[[#This Row],[Chairs Provided by the Vote Center]]&lt;0,0,EDProj[[#This Row],[Chairs Needed]]-EDProj[[#This Row],[Chairs Provided by the Vote Center]]),0)</f>
        <v>4</v>
      </c>
    </row>
    <row r="100" spans="1:26" ht="13.9">
      <c r="A100" s="23" t="s">
        <v>294</v>
      </c>
      <c r="B100" s="24" t="s">
        <v>295</v>
      </c>
      <c r="C100" s="73" t="s">
        <v>390</v>
      </c>
      <c r="D100" s="25" t="s">
        <v>485</v>
      </c>
      <c r="E100" s="26" t="s">
        <v>486</v>
      </c>
      <c r="F100" s="92">
        <v>251</v>
      </c>
      <c r="G100" s="27">
        <v>4</v>
      </c>
      <c r="H100" s="27">
        <v>4</v>
      </c>
      <c r="I100" s="27">
        <v>4</v>
      </c>
      <c r="J100" s="27">
        <v>1</v>
      </c>
      <c r="K100" s="27">
        <v>0</v>
      </c>
      <c r="L100" s="27">
        <v>0</v>
      </c>
      <c r="M100" s="23">
        <f>SUM(EDProj[[#This Row],[★ Hard Case Voting Machines]:[★ Curbside (Rollie) Voting Machine]])</f>
        <v>5</v>
      </c>
      <c r="N100" s="23">
        <v>1</v>
      </c>
      <c r="O100" s="27">
        <v>5</v>
      </c>
      <c r="P100" s="27">
        <v>1</v>
      </c>
      <c r="Q100" s="23">
        <v>1</v>
      </c>
      <c r="R100" s="27">
        <f>EDProj[[#This Row],[★ Judge]]+EDProj[[#This Row],[★ Alt Judge]]+EDProj[[#This Row],[★ Clerks]]</f>
        <v>7</v>
      </c>
      <c r="S100" s="28">
        <v>500</v>
      </c>
      <c r="T100" s="23">
        <f>EDProj[[#This Row],[★ Ballot Cards]]/250</f>
        <v>2</v>
      </c>
      <c r="U100" s="38">
        <f>EDProj[[#This Row],[★ Soft Case (ADA) Voting Machines]]+EDProj[[#This Row],[Old EPB Allocation]]</f>
        <v>5</v>
      </c>
      <c r="V100" s="38">
        <f>EDProj[[#This Row],[Tables Needed]]</f>
        <v>5</v>
      </c>
      <c r="W100" s="27">
        <v>0</v>
      </c>
      <c r="X100" s="27">
        <v>0</v>
      </c>
      <c r="Y100" s="23">
        <f>ROUNDUP(IF(EDProj[[#This Row],[Tables Needed]]-EDProj[[#This Row],[Tables Provided by the Vote Center]]&lt;0,0,EDProj[[#This Row],[Tables Needed]]-EDProj[[#This Row],[Tables Provided by the Vote Center]]),0)</f>
        <v>5</v>
      </c>
      <c r="Z100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101" spans="1:26" ht="13.9">
      <c r="A101" s="23" t="s">
        <v>294</v>
      </c>
      <c r="B101" s="24" t="s">
        <v>295</v>
      </c>
      <c r="C101" s="73" t="s">
        <v>390</v>
      </c>
      <c r="D101" s="25" t="s">
        <v>487</v>
      </c>
      <c r="E101" s="26" t="s">
        <v>488</v>
      </c>
      <c r="F101" s="92">
        <v>168</v>
      </c>
      <c r="G101" s="27">
        <v>4</v>
      </c>
      <c r="H101" s="27">
        <v>4</v>
      </c>
      <c r="I101" s="27">
        <v>2</v>
      </c>
      <c r="J101" s="27">
        <v>1</v>
      </c>
      <c r="K101" s="27">
        <v>0</v>
      </c>
      <c r="L101" s="27">
        <v>0</v>
      </c>
      <c r="M101" s="23">
        <f>SUM(EDProj[[#This Row],[★ Hard Case Voting Machines]:[★ Curbside (Rollie) Voting Machine]])</f>
        <v>3</v>
      </c>
      <c r="N101" s="23">
        <v>1</v>
      </c>
      <c r="O101" s="27">
        <v>4</v>
      </c>
      <c r="P101" s="27">
        <v>1</v>
      </c>
      <c r="Q101" s="23">
        <v>1</v>
      </c>
      <c r="R101" s="27">
        <f>EDProj[[#This Row],[★ Judge]]+EDProj[[#This Row],[★ Alt Judge]]+EDProj[[#This Row],[★ Clerks]]</f>
        <v>6</v>
      </c>
      <c r="S101" s="28">
        <v>500</v>
      </c>
      <c r="T101" s="23">
        <f>EDProj[[#This Row],[★ Ballot Cards]]/250</f>
        <v>2</v>
      </c>
      <c r="U101" s="38">
        <f>EDProj[[#This Row],[★ Soft Case (ADA) Voting Machines]]+EDProj[[#This Row],[Old EPB Allocation]]</f>
        <v>5</v>
      </c>
      <c r="V101" s="38">
        <f>EDProj[[#This Row],[Tables Needed]]</f>
        <v>5</v>
      </c>
      <c r="W101" s="27">
        <v>0</v>
      </c>
      <c r="X101" s="27">
        <v>0</v>
      </c>
      <c r="Y101" s="23">
        <f>ROUNDUP(IF(EDProj[[#This Row],[Tables Needed]]-EDProj[[#This Row],[Tables Provided by the Vote Center]]&lt;0,0,EDProj[[#This Row],[Tables Needed]]-EDProj[[#This Row],[Tables Provided by the Vote Center]]),0)</f>
        <v>5</v>
      </c>
      <c r="Z101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102" spans="1:26" ht="13.9">
      <c r="A102" s="23" t="s">
        <v>294</v>
      </c>
      <c r="B102" s="24" t="s">
        <v>295</v>
      </c>
      <c r="C102" s="73" t="s">
        <v>390</v>
      </c>
      <c r="D102" s="25" t="s">
        <v>489</v>
      </c>
      <c r="E102" s="26" t="s">
        <v>490</v>
      </c>
      <c r="F102" s="92">
        <v>332</v>
      </c>
      <c r="G102" s="27">
        <v>4</v>
      </c>
      <c r="H102" s="27">
        <v>4</v>
      </c>
      <c r="I102" s="27">
        <v>5</v>
      </c>
      <c r="J102" s="27">
        <v>1</v>
      </c>
      <c r="K102" s="27">
        <v>0</v>
      </c>
      <c r="L102" s="27">
        <v>0</v>
      </c>
      <c r="M102" s="23">
        <f>SUM(EDProj[[#This Row],[★ Hard Case Voting Machines]:[★ Curbside (Rollie) Voting Machine]])</f>
        <v>6</v>
      </c>
      <c r="N102" s="23">
        <v>1</v>
      </c>
      <c r="O102" s="27">
        <v>5</v>
      </c>
      <c r="P102" s="27">
        <v>1</v>
      </c>
      <c r="Q102" s="23">
        <v>1</v>
      </c>
      <c r="R102" s="27">
        <f>EDProj[[#This Row],[★ Judge]]+EDProj[[#This Row],[★ Alt Judge]]+EDProj[[#This Row],[★ Clerks]]</f>
        <v>7</v>
      </c>
      <c r="S102" s="28">
        <v>750</v>
      </c>
      <c r="T102" s="23">
        <f>EDProj[[#This Row],[★ Ballot Cards]]/250</f>
        <v>3</v>
      </c>
      <c r="U102" s="38">
        <f>EDProj[[#This Row],[★ Soft Case (ADA) Voting Machines]]+EDProj[[#This Row],[Old EPB Allocation]]</f>
        <v>5</v>
      </c>
      <c r="V102" s="38">
        <f>EDProj[[#This Row],[Tables Needed]]</f>
        <v>5</v>
      </c>
      <c r="W102" s="27">
        <v>5</v>
      </c>
      <c r="X102" s="27">
        <v>5</v>
      </c>
      <c r="Y102" s="23">
        <f>ROUNDUP(IF(EDProj[[#This Row],[Tables Needed]]-EDProj[[#This Row],[Tables Provided by the Vote Center]]&lt;0,0,EDProj[[#This Row],[Tables Needed]]-EDProj[[#This Row],[Tables Provided by the Vote Center]]),0)</f>
        <v>0</v>
      </c>
      <c r="Z102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103" spans="1:26" ht="13.9">
      <c r="A103" s="23" t="s">
        <v>294</v>
      </c>
      <c r="B103" s="24" t="s">
        <v>295</v>
      </c>
      <c r="C103" s="73" t="s">
        <v>390</v>
      </c>
      <c r="D103" s="25" t="s">
        <v>491</v>
      </c>
      <c r="E103" s="26" t="s">
        <v>492</v>
      </c>
      <c r="F103" s="92">
        <v>243</v>
      </c>
      <c r="G103" s="27">
        <v>4</v>
      </c>
      <c r="H103" s="27">
        <v>4</v>
      </c>
      <c r="I103" s="27">
        <v>3</v>
      </c>
      <c r="J103" s="27">
        <v>1</v>
      </c>
      <c r="K103" s="27">
        <v>0</v>
      </c>
      <c r="L103" s="27">
        <v>0</v>
      </c>
      <c r="M103" s="23">
        <f>SUM(EDProj[[#This Row],[★ Hard Case Voting Machines]:[★ Curbside (Rollie) Voting Machine]])</f>
        <v>4</v>
      </c>
      <c r="N103" s="23">
        <v>1</v>
      </c>
      <c r="O103" s="27">
        <v>4</v>
      </c>
      <c r="P103" s="27">
        <v>1</v>
      </c>
      <c r="Q103" s="23">
        <v>1</v>
      </c>
      <c r="R103" s="27">
        <f>EDProj[[#This Row],[★ Judge]]+EDProj[[#This Row],[★ Alt Judge]]+EDProj[[#This Row],[★ Clerks]]</f>
        <v>6</v>
      </c>
      <c r="S103" s="28">
        <v>500</v>
      </c>
      <c r="T103" s="23">
        <f>EDProj[[#This Row],[★ Ballot Cards]]/250</f>
        <v>2</v>
      </c>
      <c r="U103" s="38">
        <f>EDProj[[#This Row],[★ Soft Case (ADA) Voting Machines]]+EDProj[[#This Row],[Old EPB Allocation]]</f>
        <v>5</v>
      </c>
      <c r="V103" s="38">
        <f>EDProj[[#This Row],[Tables Needed]]</f>
        <v>5</v>
      </c>
      <c r="W103" s="27">
        <v>0</v>
      </c>
      <c r="X103" s="27">
        <v>0</v>
      </c>
      <c r="Y103" s="23">
        <f>ROUNDUP(IF(EDProj[[#This Row],[Tables Needed]]-EDProj[[#This Row],[Tables Provided by the Vote Center]]&lt;0,0,EDProj[[#This Row],[Tables Needed]]-EDProj[[#This Row],[Tables Provided by the Vote Center]]),0)</f>
        <v>5</v>
      </c>
      <c r="Z103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104" spans="1:26" ht="13.9">
      <c r="A104" s="23" t="s">
        <v>294</v>
      </c>
      <c r="B104" s="24" t="s">
        <v>295</v>
      </c>
      <c r="C104" s="73" t="s">
        <v>390</v>
      </c>
      <c r="D104" s="25" t="s">
        <v>493</v>
      </c>
      <c r="E104" s="26" t="s">
        <v>494</v>
      </c>
      <c r="F104" s="92">
        <v>305</v>
      </c>
      <c r="G104" s="27">
        <v>4</v>
      </c>
      <c r="H104" s="27">
        <v>4</v>
      </c>
      <c r="I104" s="27">
        <v>4</v>
      </c>
      <c r="J104" s="27">
        <v>1</v>
      </c>
      <c r="K104" s="27">
        <v>0</v>
      </c>
      <c r="L104" s="27">
        <v>0</v>
      </c>
      <c r="M104" s="23">
        <f>SUM(EDProj[[#This Row],[★ Hard Case Voting Machines]:[★ Curbside (Rollie) Voting Machine]])</f>
        <v>5</v>
      </c>
      <c r="N104" s="23">
        <v>1</v>
      </c>
      <c r="O104" s="27">
        <v>5</v>
      </c>
      <c r="P104" s="27">
        <v>1</v>
      </c>
      <c r="Q104" s="23">
        <v>1</v>
      </c>
      <c r="R104" s="27">
        <f>EDProj[[#This Row],[★ Judge]]+EDProj[[#This Row],[★ Alt Judge]]+EDProj[[#This Row],[★ Clerks]]</f>
        <v>7</v>
      </c>
      <c r="S104" s="28">
        <v>500</v>
      </c>
      <c r="T104" s="23">
        <f>EDProj[[#This Row],[★ Ballot Cards]]/250</f>
        <v>2</v>
      </c>
      <c r="U104" s="38">
        <f>EDProj[[#This Row],[★ Soft Case (ADA) Voting Machines]]+EDProj[[#This Row],[Old EPB Allocation]]</f>
        <v>5</v>
      </c>
      <c r="V104" s="38">
        <f>EDProj[[#This Row],[Tables Needed]]</f>
        <v>5</v>
      </c>
      <c r="W104" s="27">
        <v>0</v>
      </c>
      <c r="X104" s="27">
        <v>0</v>
      </c>
      <c r="Y104" s="23">
        <f>ROUNDUP(IF(EDProj[[#This Row],[Tables Needed]]-EDProj[[#This Row],[Tables Provided by the Vote Center]]&lt;0,0,EDProj[[#This Row],[Tables Needed]]-EDProj[[#This Row],[Tables Provided by the Vote Center]]),0)</f>
        <v>5</v>
      </c>
      <c r="Z104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105" spans="1:26" ht="13.9">
      <c r="A105" s="23" t="s">
        <v>294</v>
      </c>
      <c r="B105" s="24" t="s">
        <v>295</v>
      </c>
      <c r="C105" s="73" t="s">
        <v>390</v>
      </c>
      <c r="D105" s="30" t="s">
        <v>495</v>
      </c>
      <c r="E105" s="31" t="s">
        <v>496</v>
      </c>
      <c r="F105" s="93">
        <v>1014</v>
      </c>
      <c r="G105" s="27">
        <v>4</v>
      </c>
      <c r="H105" s="27">
        <v>4</v>
      </c>
      <c r="I105" s="27">
        <v>11</v>
      </c>
      <c r="J105" s="27">
        <v>1</v>
      </c>
      <c r="K105" s="27">
        <v>0</v>
      </c>
      <c r="L105" s="27">
        <v>0</v>
      </c>
      <c r="M105" s="23">
        <f>SUM(EDProj[[#This Row],[★ Hard Case Voting Machines]:[★ Curbside (Rollie) Voting Machine]])</f>
        <v>12</v>
      </c>
      <c r="N105" s="23">
        <v>1</v>
      </c>
      <c r="O105" s="27">
        <v>7</v>
      </c>
      <c r="P105" s="27">
        <v>1</v>
      </c>
      <c r="Q105" s="23">
        <v>1</v>
      </c>
      <c r="R105" s="27">
        <f>EDProj[[#This Row],[★ Judge]]+EDProj[[#This Row],[★ Alt Judge]]+EDProj[[#This Row],[★ Clerks]]</f>
        <v>9</v>
      </c>
      <c r="S105" s="28">
        <v>1750</v>
      </c>
      <c r="T105" s="23">
        <f>EDProj[[#This Row],[★ Ballot Cards]]/250</f>
        <v>7</v>
      </c>
      <c r="U105" s="38">
        <f>EDProj[[#This Row],[★ Soft Case (ADA) Voting Machines]]+EDProj[[#This Row],[Old EPB Allocation]]</f>
        <v>5</v>
      </c>
      <c r="V105" s="38">
        <f>EDProj[[#This Row],[Tables Needed]]</f>
        <v>5</v>
      </c>
      <c r="W105" s="27">
        <v>0</v>
      </c>
      <c r="X105" s="27">
        <v>0</v>
      </c>
      <c r="Y105" s="23">
        <f>ROUNDUP(IF(EDProj[[#This Row],[Tables Needed]]-EDProj[[#This Row],[Tables Provided by the Vote Center]]&lt;0,0,EDProj[[#This Row],[Tables Needed]]-EDProj[[#This Row],[Tables Provided by the Vote Center]]),0)</f>
        <v>5</v>
      </c>
      <c r="Z105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106" spans="1:26" ht="13.9">
      <c r="A106" s="23" t="s">
        <v>294</v>
      </c>
      <c r="B106" s="24" t="s">
        <v>295</v>
      </c>
      <c r="C106" s="73" t="s">
        <v>390</v>
      </c>
      <c r="D106" s="30" t="s">
        <v>497</v>
      </c>
      <c r="E106" s="31" t="s">
        <v>498</v>
      </c>
      <c r="F106" s="93">
        <v>154</v>
      </c>
      <c r="G106" s="27">
        <v>4</v>
      </c>
      <c r="H106" s="27">
        <v>4</v>
      </c>
      <c r="I106" s="27">
        <v>2</v>
      </c>
      <c r="J106" s="27">
        <v>1</v>
      </c>
      <c r="K106" s="27">
        <v>0</v>
      </c>
      <c r="L106" s="27">
        <v>0</v>
      </c>
      <c r="M106" s="23">
        <f>SUM(EDProj[[#This Row],[★ Hard Case Voting Machines]:[★ Curbside (Rollie) Voting Machine]])</f>
        <v>3</v>
      </c>
      <c r="N106" s="23">
        <v>1</v>
      </c>
      <c r="O106" s="27">
        <v>4</v>
      </c>
      <c r="P106" s="27">
        <v>1</v>
      </c>
      <c r="Q106" s="23">
        <v>1</v>
      </c>
      <c r="R106" s="27">
        <f>EDProj[[#This Row],[★ Judge]]+EDProj[[#This Row],[★ Alt Judge]]+EDProj[[#This Row],[★ Clerks]]</f>
        <v>6</v>
      </c>
      <c r="S106" s="28">
        <v>500</v>
      </c>
      <c r="T106" s="23">
        <f>EDProj[[#This Row],[★ Ballot Cards]]/250</f>
        <v>2</v>
      </c>
      <c r="U106" s="38">
        <f>EDProj[[#This Row],[★ Soft Case (ADA) Voting Machines]]+EDProj[[#This Row],[Old EPB Allocation]]</f>
        <v>5</v>
      </c>
      <c r="V106" s="38">
        <f>EDProj[[#This Row],[Tables Needed]]</f>
        <v>5</v>
      </c>
      <c r="W106" s="27">
        <v>0</v>
      </c>
      <c r="X106" s="27">
        <v>0</v>
      </c>
      <c r="Y106" s="23">
        <f>ROUNDUP(IF(EDProj[[#This Row],[Tables Needed]]-EDProj[[#This Row],[Tables Provided by the Vote Center]]&lt;0,0,EDProj[[#This Row],[Tables Needed]]-EDProj[[#This Row],[Tables Provided by the Vote Center]]),0)</f>
        <v>5</v>
      </c>
      <c r="Z106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107" spans="1:26" ht="13.9">
      <c r="A107" s="23" t="s">
        <v>294</v>
      </c>
      <c r="B107" s="24" t="s">
        <v>295</v>
      </c>
      <c r="C107" s="73" t="s">
        <v>390</v>
      </c>
      <c r="D107" s="30" t="s">
        <v>499</v>
      </c>
      <c r="E107" s="31" t="s">
        <v>500</v>
      </c>
      <c r="F107" s="93">
        <v>129</v>
      </c>
      <c r="G107" s="27">
        <v>4</v>
      </c>
      <c r="H107" s="27">
        <v>4</v>
      </c>
      <c r="I107" s="27">
        <v>2</v>
      </c>
      <c r="J107" s="27">
        <v>1</v>
      </c>
      <c r="K107" s="27">
        <v>0</v>
      </c>
      <c r="L107" s="27">
        <v>0</v>
      </c>
      <c r="M107" s="23">
        <f>SUM(EDProj[[#This Row],[★ Hard Case Voting Machines]:[★ Curbside (Rollie) Voting Machine]])</f>
        <v>3</v>
      </c>
      <c r="N107" s="23">
        <v>1</v>
      </c>
      <c r="O107" s="27">
        <v>4</v>
      </c>
      <c r="P107" s="27">
        <v>1</v>
      </c>
      <c r="Q107" s="23">
        <v>1</v>
      </c>
      <c r="R107" s="27">
        <f>EDProj[[#This Row],[★ Judge]]+EDProj[[#This Row],[★ Alt Judge]]+EDProj[[#This Row],[★ Clerks]]</f>
        <v>6</v>
      </c>
      <c r="S107" s="28">
        <v>500</v>
      </c>
      <c r="T107" s="23">
        <f>EDProj[[#This Row],[★ Ballot Cards]]/250</f>
        <v>2</v>
      </c>
      <c r="U107" s="38">
        <f>EDProj[[#This Row],[★ Soft Case (ADA) Voting Machines]]+EDProj[[#This Row],[Old EPB Allocation]]</f>
        <v>5</v>
      </c>
      <c r="V107" s="38">
        <f>EDProj[[#This Row],[Tables Needed]]</f>
        <v>5</v>
      </c>
      <c r="W107" s="27">
        <v>0</v>
      </c>
      <c r="X107" s="27">
        <v>0</v>
      </c>
      <c r="Y107" s="23">
        <f>ROUNDUP(IF(EDProj[[#This Row],[Tables Needed]]-EDProj[[#This Row],[Tables Provided by the Vote Center]]&lt;0,0,EDProj[[#This Row],[Tables Needed]]-EDProj[[#This Row],[Tables Provided by the Vote Center]]),0)</f>
        <v>5</v>
      </c>
      <c r="Z107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108" spans="1:26" ht="13.9">
      <c r="A108" s="23" t="s">
        <v>113</v>
      </c>
      <c r="B108" s="24" t="s">
        <v>253</v>
      </c>
      <c r="C108" s="73" t="s">
        <v>390</v>
      </c>
      <c r="D108" s="30" t="s">
        <v>252</v>
      </c>
      <c r="E108" s="31" t="s">
        <v>254</v>
      </c>
      <c r="F108" s="93">
        <v>1114</v>
      </c>
      <c r="G108" s="27">
        <v>4</v>
      </c>
      <c r="H108" s="27">
        <v>4</v>
      </c>
      <c r="I108" s="27">
        <v>10</v>
      </c>
      <c r="J108" s="27">
        <v>1</v>
      </c>
      <c r="K108" s="27">
        <v>1</v>
      </c>
      <c r="L108" s="27">
        <v>1</v>
      </c>
      <c r="M108" s="23">
        <f>SUM(EDProj[[#This Row],[★ Hard Case Voting Machines]:[★ Curbside (Rollie) Voting Machine]])</f>
        <v>13</v>
      </c>
      <c r="N108" s="23">
        <v>1</v>
      </c>
      <c r="O108" s="27">
        <v>7</v>
      </c>
      <c r="P108" s="27">
        <v>1</v>
      </c>
      <c r="Q108" s="23">
        <v>1</v>
      </c>
      <c r="R108" s="27">
        <f>EDProj[[#This Row],[★ Judge]]+EDProj[[#This Row],[★ Alt Judge]]+EDProj[[#This Row],[★ Clerks]]</f>
        <v>9</v>
      </c>
      <c r="S108" s="28">
        <v>1250</v>
      </c>
      <c r="T108" s="23">
        <f>EDProj[[#This Row],[★ Ballot Cards]]/250</f>
        <v>5</v>
      </c>
      <c r="U108" s="38">
        <f>EDProj[[#This Row],[★ Soft Case (ADA) Voting Machines]]+EDProj[[#This Row],[Old EPB Allocation]]</f>
        <v>5</v>
      </c>
      <c r="V108" s="38">
        <f>EDProj[[#This Row],[Tables Needed]]</f>
        <v>5</v>
      </c>
      <c r="W108" s="27">
        <v>4</v>
      </c>
      <c r="X108" s="27">
        <v>10</v>
      </c>
      <c r="Y108" s="23">
        <f>ROUNDUP(IF(EDProj[[#This Row],[Tables Needed]]-EDProj[[#This Row],[Tables Provided by the Vote Center]]&lt;0,0,EDProj[[#This Row],[Tables Needed]]-EDProj[[#This Row],[Tables Provided by the Vote Center]]),0)</f>
        <v>1</v>
      </c>
      <c r="Z108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109" spans="1:26" ht="13.9">
      <c r="A109" s="23" t="s">
        <v>294</v>
      </c>
      <c r="B109" s="24" t="s">
        <v>295</v>
      </c>
      <c r="C109" s="73" t="s">
        <v>390</v>
      </c>
      <c r="D109" s="30" t="s">
        <v>501</v>
      </c>
      <c r="E109" s="31" t="s">
        <v>502</v>
      </c>
      <c r="F109" s="93">
        <v>189</v>
      </c>
      <c r="G109" s="27">
        <v>4</v>
      </c>
      <c r="H109" s="27">
        <v>4</v>
      </c>
      <c r="I109" s="27">
        <v>3</v>
      </c>
      <c r="J109" s="27">
        <v>1</v>
      </c>
      <c r="K109" s="27">
        <v>0</v>
      </c>
      <c r="L109" s="27">
        <v>0</v>
      </c>
      <c r="M109" s="23">
        <f>SUM(EDProj[[#This Row],[★ Hard Case Voting Machines]:[★ Curbside (Rollie) Voting Machine]])</f>
        <v>4</v>
      </c>
      <c r="N109" s="23">
        <v>1</v>
      </c>
      <c r="O109" s="27">
        <v>4</v>
      </c>
      <c r="P109" s="27">
        <v>1</v>
      </c>
      <c r="Q109" s="23">
        <v>1</v>
      </c>
      <c r="R109" s="27">
        <f>EDProj[[#This Row],[★ Judge]]+EDProj[[#This Row],[★ Alt Judge]]+EDProj[[#This Row],[★ Clerks]]</f>
        <v>6</v>
      </c>
      <c r="S109" s="28">
        <v>500</v>
      </c>
      <c r="T109" s="23">
        <f>EDProj[[#This Row],[★ Ballot Cards]]/250</f>
        <v>2</v>
      </c>
      <c r="U109" s="38">
        <f>EDProj[[#This Row],[★ Soft Case (ADA) Voting Machines]]+EDProj[[#This Row],[Old EPB Allocation]]</f>
        <v>5</v>
      </c>
      <c r="V109" s="38">
        <f>EDProj[[#This Row],[Tables Needed]]</f>
        <v>5</v>
      </c>
      <c r="W109" s="27">
        <v>0</v>
      </c>
      <c r="X109" s="27">
        <v>0</v>
      </c>
      <c r="Y109" s="23">
        <f>ROUNDUP(IF(EDProj[[#This Row],[Tables Needed]]-EDProj[[#This Row],[Tables Provided by the Vote Center]]&lt;0,0,EDProj[[#This Row],[Tables Needed]]-EDProj[[#This Row],[Tables Provided by the Vote Center]]),0)</f>
        <v>5</v>
      </c>
      <c r="Z109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110" spans="1:26" ht="13.9">
      <c r="A110" s="23" t="s">
        <v>113</v>
      </c>
      <c r="B110" s="24" t="s">
        <v>199</v>
      </c>
      <c r="C110" s="73" t="s">
        <v>390</v>
      </c>
      <c r="D110" s="30" t="s">
        <v>198</v>
      </c>
      <c r="E110" s="31" t="s">
        <v>200</v>
      </c>
      <c r="F110" s="93">
        <v>1170</v>
      </c>
      <c r="G110" s="27">
        <v>5</v>
      </c>
      <c r="H110" s="27">
        <v>7</v>
      </c>
      <c r="I110" s="27">
        <v>22</v>
      </c>
      <c r="J110" s="27">
        <v>1</v>
      </c>
      <c r="K110" s="27">
        <v>1</v>
      </c>
      <c r="L110" s="27">
        <v>1</v>
      </c>
      <c r="M110" s="23">
        <f>SUM(EDProj[[#This Row],[★ Hard Case Voting Machines]:[★ Curbside (Rollie) Voting Machine]])</f>
        <v>25</v>
      </c>
      <c r="N110" s="23">
        <v>1</v>
      </c>
      <c r="O110" s="27">
        <v>12</v>
      </c>
      <c r="P110" s="27">
        <v>1</v>
      </c>
      <c r="Q110" s="23">
        <v>1</v>
      </c>
      <c r="R110" s="27">
        <f>EDProj[[#This Row],[★ Judge]]+EDProj[[#This Row],[★ Alt Judge]]+EDProj[[#This Row],[★ Clerks]]</f>
        <v>14</v>
      </c>
      <c r="S110" s="28">
        <v>2000</v>
      </c>
      <c r="T110" s="23">
        <f>EDProj[[#This Row],[★ Ballot Cards]]/250</f>
        <v>8</v>
      </c>
      <c r="U110" s="38">
        <f>EDProj[[#This Row],[★ Soft Case (ADA) Voting Machines]]+EDProj[[#This Row],[Old EPB Allocation]]</f>
        <v>6</v>
      </c>
      <c r="V110" s="38">
        <f>EDProj[[#This Row],[Tables Needed]]</f>
        <v>6</v>
      </c>
      <c r="W110" s="27">
        <v>5</v>
      </c>
      <c r="X110" s="27">
        <v>6</v>
      </c>
      <c r="Y110" s="23">
        <f>ROUNDUP(IF(EDProj[[#This Row],[Tables Needed]]-EDProj[[#This Row],[Tables Provided by the Vote Center]]&lt;0,0,EDProj[[#This Row],[Tables Needed]]-EDProj[[#This Row],[Tables Provided by the Vote Center]]),0)</f>
        <v>1</v>
      </c>
      <c r="Z110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111" spans="1:26" ht="13.9">
      <c r="A111" s="23" t="s">
        <v>294</v>
      </c>
      <c r="B111" s="24" t="s">
        <v>295</v>
      </c>
      <c r="C111" s="73" t="s">
        <v>390</v>
      </c>
      <c r="D111" s="30" t="s">
        <v>503</v>
      </c>
      <c r="E111" s="31" t="s">
        <v>504</v>
      </c>
      <c r="F111" s="93">
        <v>388</v>
      </c>
      <c r="G111" s="27">
        <v>4</v>
      </c>
      <c r="H111" s="27">
        <v>4</v>
      </c>
      <c r="I111" s="27">
        <v>6</v>
      </c>
      <c r="J111" s="27">
        <v>1</v>
      </c>
      <c r="K111" s="27">
        <v>0</v>
      </c>
      <c r="L111" s="27">
        <v>0</v>
      </c>
      <c r="M111" s="23">
        <f>SUM(EDProj[[#This Row],[★ Hard Case Voting Machines]:[★ Curbside (Rollie) Voting Machine]])</f>
        <v>7</v>
      </c>
      <c r="N111" s="23">
        <v>1</v>
      </c>
      <c r="O111" s="27">
        <v>5</v>
      </c>
      <c r="P111" s="23">
        <v>1</v>
      </c>
      <c r="Q111" s="23">
        <v>1</v>
      </c>
      <c r="R111" s="27">
        <f>EDProj[[#This Row],[★ Judge]]+EDProj[[#This Row],[★ Alt Judge]]+EDProj[[#This Row],[★ Clerks]]</f>
        <v>7</v>
      </c>
      <c r="S111" s="28">
        <v>750</v>
      </c>
      <c r="T111" s="23">
        <f>EDProj[[#This Row],[★ Ballot Cards]]/250</f>
        <v>3</v>
      </c>
      <c r="U111" s="38">
        <f>EDProj[[#This Row],[★ Soft Case (ADA) Voting Machines]]+EDProj[[#This Row],[Old EPB Allocation]]</f>
        <v>5</v>
      </c>
      <c r="V111" s="38">
        <f>EDProj[[#This Row],[Tables Needed]]</f>
        <v>5</v>
      </c>
      <c r="W111" s="27">
        <v>0</v>
      </c>
      <c r="X111" s="27">
        <v>0</v>
      </c>
      <c r="Y111" s="23">
        <f>ROUNDUP(IF(EDProj[[#This Row],[Tables Needed]]-EDProj[[#This Row],[Tables Provided by the Vote Center]]&lt;0,0,EDProj[[#This Row],[Tables Needed]]-EDProj[[#This Row],[Tables Provided by the Vote Center]]),0)</f>
        <v>5</v>
      </c>
      <c r="Z111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112" spans="1:26" ht="13.9">
      <c r="A112" s="23" t="s">
        <v>294</v>
      </c>
      <c r="B112" s="24" t="s">
        <v>295</v>
      </c>
      <c r="C112" s="73" t="s">
        <v>390</v>
      </c>
      <c r="D112" s="30" t="s">
        <v>505</v>
      </c>
      <c r="E112" s="31" t="s">
        <v>506</v>
      </c>
      <c r="F112" s="93">
        <v>81</v>
      </c>
      <c r="G112" s="27">
        <v>4</v>
      </c>
      <c r="H112" s="27">
        <v>4</v>
      </c>
      <c r="I112" s="27">
        <v>2</v>
      </c>
      <c r="J112" s="27">
        <v>1</v>
      </c>
      <c r="K112" s="27">
        <v>0</v>
      </c>
      <c r="L112" s="27">
        <v>0</v>
      </c>
      <c r="M112" s="23">
        <f>SUM(EDProj[[#This Row],[★ Hard Case Voting Machines]:[★ Curbside (Rollie) Voting Machine]])</f>
        <v>3</v>
      </c>
      <c r="N112" s="23">
        <v>1</v>
      </c>
      <c r="O112" s="27">
        <v>4</v>
      </c>
      <c r="P112" s="27">
        <v>1</v>
      </c>
      <c r="Q112" s="23">
        <v>1</v>
      </c>
      <c r="R112" s="27">
        <f>EDProj[[#This Row],[★ Judge]]+EDProj[[#This Row],[★ Alt Judge]]+EDProj[[#This Row],[★ Clerks]]</f>
        <v>6</v>
      </c>
      <c r="S112" s="28">
        <v>500</v>
      </c>
      <c r="T112" s="23">
        <f>EDProj[[#This Row],[★ Ballot Cards]]/250</f>
        <v>2</v>
      </c>
      <c r="U112" s="38">
        <f>EDProj[[#This Row],[★ Soft Case (ADA) Voting Machines]]+EDProj[[#This Row],[Old EPB Allocation]]</f>
        <v>5</v>
      </c>
      <c r="V112" s="38">
        <f>EDProj[[#This Row],[Tables Needed]]</f>
        <v>5</v>
      </c>
      <c r="W112" s="27">
        <v>0</v>
      </c>
      <c r="X112" s="27">
        <v>0</v>
      </c>
      <c r="Y112" s="23">
        <f>ROUNDUP(IF(EDProj[[#This Row],[Tables Needed]]-EDProj[[#This Row],[Tables Provided by the Vote Center]]&lt;0,0,EDProj[[#This Row],[Tables Needed]]-EDProj[[#This Row],[Tables Provided by the Vote Center]]),0)</f>
        <v>5</v>
      </c>
      <c r="Z112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113" spans="1:26" ht="13.9">
      <c r="A113" s="23" t="s">
        <v>294</v>
      </c>
      <c r="B113" s="24" t="s">
        <v>295</v>
      </c>
      <c r="C113" s="73" t="s">
        <v>390</v>
      </c>
      <c r="D113" s="30" t="s">
        <v>507</v>
      </c>
      <c r="E113" s="31" t="s">
        <v>508</v>
      </c>
      <c r="F113" s="93">
        <v>1098</v>
      </c>
      <c r="G113" s="27">
        <v>4</v>
      </c>
      <c r="H113" s="27">
        <v>4</v>
      </c>
      <c r="I113" s="27">
        <v>11</v>
      </c>
      <c r="J113" s="27">
        <v>1</v>
      </c>
      <c r="K113" s="27">
        <v>0</v>
      </c>
      <c r="L113" s="27">
        <v>0</v>
      </c>
      <c r="M113" s="23">
        <f>SUM(EDProj[[#This Row],[★ Hard Case Voting Machines]:[★ Curbside (Rollie) Voting Machine]])</f>
        <v>12</v>
      </c>
      <c r="N113" s="23">
        <v>1</v>
      </c>
      <c r="O113" s="27">
        <v>7</v>
      </c>
      <c r="P113" s="23">
        <v>1</v>
      </c>
      <c r="Q113" s="23">
        <v>1</v>
      </c>
      <c r="R113" s="27">
        <f>EDProj[[#This Row],[★ Judge]]+EDProj[[#This Row],[★ Alt Judge]]+EDProj[[#This Row],[★ Clerks]]</f>
        <v>9</v>
      </c>
      <c r="S113" s="28">
        <v>2000</v>
      </c>
      <c r="T113" s="23">
        <f>EDProj[[#This Row],[★ Ballot Cards]]/250</f>
        <v>8</v>
      </c>
      <c r="U113" s="38">
        <f>EDProj[[#This Row],[★ Soft Case (ADA) Voting Machines]]+EDProj[[#This Row],[Old EPB Allocation]]</f>
        <v>5</v>
      </c>
      <c r="V113" s="38">
        <f>EDProj[[#This Row],[Tables Needed]]</f>
        <v>5</v>
      </c>
      <c r="W113" s="27">
        <v>10</v>
      </c>
      <c r="X113" s="27">
        <v>25</v>
      </c>
      <c r="Y113" s="23">
        <f>ROUNDUP(IF(EDProj[[#This Row],[Tables Needed]]-EDProj[[#This Row],[Tables Provided by the Vote Center]]&lt;0,0,EDProj[[#This Row],[Tables Needed]]-EDProj[[#This Row],[Tables Provided by the Vote Center]]),0)</f>
        <v>0</v>
      </c>
      <c r="Z113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114" spans="1:26" ht="13.9">
      <c r="A114" s="23" t="s">
        <v>294</v>
      </c>
      <c r="B114" s="24" t="s">
        <v>295</v>
      </c>
      <c r="C114" s="73" t="s">
        <v>509</v>
      </c>
      <c r="D114" s="30" t="s">
        <v>510</v>
      </c>
      <c r="E114" s="31" t="s">
        <v>511</v>
      </c>
      <c r="F114" s="93">
        <v>151</v>
      </c>
      <c r="G114" s="27">
        <v>4</v>
      </c>
      <c r="H114" s="27">
        <v>4</v>
      </c>
      <c r="I114" s="27">
        <v>2</v>
      </c>
      <c r="J114" s="27">
        <v>1</v>
      </c>
      <c r="K114" s="27">
        <v>0</v>
      </c>
      <c r="L114" s="27">
        <v>0</v>
      </c>
      <c r="M114" s="23">
        <f>SUM(EDProj[[#This Row],[★ Hard Case Voting Machines]:[★ Curbside (Rollie) Voting Machine]])</f>
        <v>3</v>
      </c>
      <c r="N114" s="23">
        <v>1</v>
      </c>
      <c r="O114" s="27">
        <v>4</v>
      </c>
      <c r="P114" s="23">
        <v>1</v>
      </c>
      <c r="Q114" s="23">
        <v>1</v>
      </c>
      <c r="R114" s="27">
        <f>EDProj[[#This Row],[★ Judge]]+EDProj[[#This Row],[★ Alt Judge]]+EDProj[[#This Row],[★ Clerks]]</f>
        <v>6</v>
      </c>
      <c r="S114" s="28">
        <v>500</v>
      </c>
      <c r="T114" s="23">
        <f>EDProj[[#This Row],[★ Ballot Cards]]/250</f>
        <v>2</v>
      </c>
      <c r="U114" s="38">
        <f>EDProj[[#This Row],[★ Soft Case (ADA) Voting Machines]]+EDProj[[#This Row],[Old EPB Allocation]]</f>
        <v>5</v>
      </c>
      <c r="V114" s="38">
        <f>EDProj[[#This Row],[Tables Needed]]</f>
        <v>5</v>
      </c>
      <c r="W114" s="27">
        <v>4</v>
      </c>
      <c r="X114" s="27">
        <v>14</v>
      </c>
      <c r="Y114" s="23">
        <f>ROUNDUP(IF(EDProj[[#This Row],[Tables Needed]]-EDProj[[#This Row],[Tables Provided by the Vote Center]]&lt;0,0,EDProj[[#This Row],[Tables Needed]]-EDProj[[#This Row],[Tables Provided by the Vote Center]]),0)</f>
        <v>1</v>
      </c>
      <c r="Z114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115" spans="1:26" ht="13.9">
      <c r="A115" s="23" t="s">
        <v>294</v>
      </c>
      <c r="B115" s="24" t="s">
        <v>295</v>
      </c>
      <c r="C115" s="73" t="s">
        <v>509</v>
      </c>
      <c r="D115" s="30" t="s">
        <v>512</v>
      </c>
      <c r="E115" s="31" t="s">
        <v>513</v>
      </c>
      <c r="F115" s="93">
        <v>192</v>
      </c>
      <c r="G115" s="27">
        <v>4</v>
      </c>
      <c r="H115" s="27">
        <v>4</v>
      </c>
      <c r="I115" s="27">
        <v>3</v>
      </c>
      <c r="J115" s="27">
        <v>1</v>
      </c>
      <c r="K115" s="27">
        <v>0</v>
      </c>
      <c r="L115" s="27">
        <v>0</v>
      </c>
      <c r="M115" s="23">
        <f>SUM(EDProj[[#This Row],[★ Hard Case Voting Machines]:[★ Curbside (Rollie) Voting Machine]])</f>
        <v>4</v>
      </c>
      <c r="N115" s="23">
        <v>1</v>
      </c>
      <c r="O115" s="27">
        <v>4</v>
      </c>
      <c r="P115" s="23">
        <v>1</v>
      </c>
      <c r="Q115" s="23">
        <v>1</v>
      </c>
      <c r="R115" s="27">
        <f>EDProj[[#This Row],[★ Judge]]+EDProj[[#This Row],[★ Alt Judge]]+EDProj[[#This Row],[★ Clerks]]</f>
        <v>6</v>
      </c>
      <c r="S115" s="28">
        <v>500</v>
      </c>
      <c r="T115" s="23">
        <f>EDProj[[#This Row],[★ Ballot Cards]]/250</f>
        <v>2</v>
      </c>
      <c r="U115" s="38">
        <f>EDProj[[#This Row],[★ Soft Case (ADA) Voting Machines]]+EDProj[[#This Row],[Old EPB Allocation]]</f>
        <v>5</v>
      </c>
      <c r="V115" s="38">
        <f>EDProj[[#This Row],[Tables Needed]]</f>
        <v>5</v>
      </c>
      <c r="W115" s="27">
        <v>0</v>
      </c>
      <c r="X115" s="27">
        <v>0</v>
      </c>
      <c r="Y115" s="23">
        <f>ROUNDUP(IF(EDProj[[#This Row],[Tables Needed]]-EDProj[[#This Row],[Tables Provided by the Vote Center]]&lt;0,0,EDProj[[#This Row],[Tables Needed]]-EDProj[[#This Row],[Tables Provided by the Vote Center]]),0)</f>
        <v>5</v>
      </c>
      <c r="Z115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116" spans="1:26" ht="13.9">
      <c r="A116" s="23" t="s">
        <v>294</v>
      </c>
      <c r="B116" s="24" t="s">
        <v>295</v>
      </c>
      <c r="C116" s="73" t="s">
        <v>509</v>
      </c>
      <c r="D116" s="30" t="s">
        <v>514</v>
      </c>
      <c r="E116" s="31" t="s">
        <v>515</v>
      </c>
      <c r="F116" s="93">
        <v>97</v>
      </c>
      <c r="G116" s="27">
        <v>4</v>
      </c>
      <c r="H116" s="27">
        <v>4</v>
      </c>
      <c r="I116" s="27">
        <v>2</v>
      </c>
      <c r="J116" s="27">
        <v>1</v>
      </c>
      <c r="K116" s="27">
        <v>0</v>
      </c>
      <c r="L116" s="27">
        <v>0</v>
      </c>
      <c r="M116" s="23">
        <f>SUM(EDProj[[#This Row],[★ Hard Case Voting Machines]:[★ Curbside (Rollie) Voting Machine]])</f>
        <v>3</v>
      </c>
      <c r="N116" s="23">
        <v>1</v>
      </c>
      <c r="O116" s="27">
        <v>4</v>
      </c>
      <c r="P116" s="27">
        <v>1</v>
      </c>
      <c r="Q116" s="23">
        <v>1</v>
      </c>
      <c r="R116" s="27">
        <f>EDProj[[#This Row],[★ Judge]]+EDProj[[#This Row],[★ Alt Judge]]+EDProj[[#This Row],[★ Clerks]]</f>
        <v>6</v>
      </c>
      <c r="S116" s="28">
        <v>500</v>
      </c>
      <c r="T116" s="23">
        <f>EDProj[[#This Row],[★ Ballot Cards]]/250</f>
        <v>2</v>
      </c>
      <c r="U116" s="38">
        <f>EDProj[[#This Row],[★ Soft Case (ADA) Voting Machines]]+EDProj[[#This Row],[Old EPB Allocation]]</f>
        <v>5</v>
      </c>
      <c r="V116" s="38">
        <f>EDProj[[#This Row],[Tables Needed]]</f>
        <v>5</v>
      </c>
      <c r="W116" s="27">
        <v>16</v>
      </c>
      <c r="X116" s="27">
        <v>80</v>
      </c>
      <c r="Y116" s="23">
        <f>ROUNDUP(IF(EDProj[[#This Row],[Tables Needed]]-EDProj[[#This Row],[Tables Provided by the Vote Center]]&lt;0,0,EDProj[[#This Row],[Tables Needed]]-EDProj[[#This Row],[Tables Provided by the Vote Center]]),0)</f>
        <v>0</v>
      </c>
      <c r="Z116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117" spans="1:26" ht="13.9">
      <c r="A117" s="23" t="s">
        <v>294</v>
      </c>
      <c r="B117" s="24" t="s">
        <v>295</v>
      </c>
      <c r="C117" s="73" t="s">
        <v>509</v>
      </c>
      <c r="D117" s="30" t="s">
        <v>516</v>
      </c>
      <c r="E117" s="31" t="s">
        <v>517</v>
      </c>
      <c r="F117" s="93">
        <v>82</v>
      </c>
      <c r="G117" s="27">
        <v>4</v>
      </c>
      <c r="H117" s="27">
        <v>4</v>
      </c>
      <c r="I117" s="27">
        <v>2</v>
      </c>
      <c r="J117" s="27">
        <v>1</v>
      </c>
      <c r="K117" s="27">
        <v>0</v>
      </c>
      <c r="L117" s="27">
        <v>0</v>
      </c>
      <c r="M117" s="23">
        <f>SUM(EDProj[[#This Row],[★ Hard Case Voting Machines]:[★ Curbside (Rollie) Voting Machine]])</f>
        <v>3</v>
      </c>
      <c r="N117" s="23">
        <v>1</v>
      </c>
      <c r="O117" s="27">
        <v>4</v>
      </c>
      <c r="P117" s="27">
        <v>1</v>
      </c>
      <c r="Q117" s="23">
        <v>1</v>
      </c>
      <c r="R117" s="27">
        <f>EDProj[[#This Row],[★ Judge]]+EDProj[[#This Row],[★ Alt Judge]]+EDProj[[#This Row],[★ Clerks]]</f>
        <v>6</v>
      </c>
      <c r="S117" s="28">
        <v>500</v>
      </c>
      <c r="T117" s="23">
        <f>EDProj[[#This Row],[★ Ballot Cards]]/250</f>
        <v>2</v>
      </c>
      <c r="U117" s="38">
        <f>EDProj[[#This Row],[★ Soft Case (ADA) Voting Machines]]+EDProj[[#This Row],[Old EPB Allocation]]</f>
        <v>5</v>
      </c>
      <c r="V117" s="38">
        <f>EDProj[[#This Row],[Tables Needed]]</f>
        <v>5</v>
      </c>
      <c r="W117" s="27">
        <v>10</v>
      </c>
      <c r="X117" s="27">
        <v>150</v>
      </c>
      <c r="Y117" s="23">
        <f>ROUNDUP(IF(EDProj[[#This Row],[Tables Needed]]-EDProj[[#This Row],[Tables Provided by the Vote Center]]&lt;0,0,EDProj[[#This Row],[Tables Needed]]-EDProj[[#This Row],[Tables Provided by the Vote Center]]),0)</f>
        <v>0</v>
      </c>
      <c r="Z117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118" spans="1:26" ht="13.9">
      <c r="A118" s="23" t="s">
        <v>294</v>
      </c>
      <c r="B118" s="24" t="s">
        <v>295</v>
      </c>
      <c r="C118" s="73" t="s">
        <v>509</v>
      </c>
      <c r="D118" s="25" t="s">
        <v>518</v>
      </c>
      <c r="E118" s="26" t="s">
        <v>519</v>
      </c>
      <c r="F118" s="92">
        <v>99</v>
      </c>
      <c r="G118" s="27">
        <v>4</v>
      </c>
      <c r="H118" s="27">
        <v>4</v>
      </c>
      <c r="I118" s="27">
        <v>2</v>
      </c>
      <c r="J118" s="27">
        <v>1</v>
      </c>
      <c r="K118" s="27">
        <v>0</v>
      </c>
      <c r="L118" s="27">
        <v>0</v>
      </c>
      <c r="M118" s="23">
        <f>SUM(EDProj[[#This Row],[★ Hard Case Voting Machines]:[★ Curbside (Rollie) Voting Machine]])</f>
        <v>3</v>
      </c>
      <c r="N118" s="23">
        <v>1</v>
      </c>
      <c r="O118" s="27">
        <v>4</v>
      </c>
      <c r="P118" s="27">
        <v>1</v>
      </c>
      <c r="Q118" s="23">
        <v>1</v>
      </c>
      <c r="R118" s="27">
        <f>EDProj[[#This Row],[★ Judge]]+EDProj[[#This Row],[★ Alt Judge]]+EDProj[[#This Row],[★ Clerks]]</f>
        <v>6</v>
      </c>
      <c r="S118" s="28">
        <v>500</v>
      </c>
      <c r="T118" s="23">
        <f>EDProj[[#This Row],[★ Ballot Cards]]/250</f>
        <v>2</v>
      </c>
      <c r="U118" s="38">
        <f>EDProj[[#This Row],[★ Soft Case (ADA) Voting Machines]]+EDProj[[#This Row],[Old EPB Allocation]]</f>
        <v>5</v>
      </c>
      <c r="V118" s="38">
        <f>EDProj[[#This Row],[Tables Needed]]</f>
        <v>5</v>
      </c>
      <c r="W118" s="27">
        <v>0</v>
      </c>
      <c r="X118" s="27">
        <v>0</v>
      </c>
      <c r="Y118" s="23">
        <f>ROUNDUP(IF(EDProj[[#This Row],[Tables Needed]]-EDProj[[#This Row],[Tables Provided by the Vote Center]]&lt;0,0,EDProj[[#This Row],[Tables Needed]]-EDProj[[#This Row],[Tables Provided by the Vote Center]]),0)</f>
        <v>5</v>
      </c>
      <c r="Z118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119" spans="1:26" ht="13.9">
      <c r="A119" s="23" t="s">
        <v>294</v>
      </c>
      <c r="B119" s="24" t="s">
        <v>295</v>
      </c>
      <c r="C119" s="73" t="s">
        <v>509</v>
      </c>
      <c r="D119" s="25" t="s">
        <v>520</v>
      </c>
      <c r="E119" s="26" t="s">
        <v>521</v>
      </c>
      <c r="F119" s="92">
        <v>252</v>
      </c>
      <c r="G119" s="27">
        <v>4</v>
      </c>
      <c r="H119" s="27">
        <v>4</v>
      </c>
      <c r="I119" s="27">
        <v>4</v>
      </c>
      <c r="J119" s="27">
        <v>1</v>
      </c>
      <c r="K119" s="27">
        <v>0</v>
      </c>
      <c r="L119" s="27">
        <v>0</v>
      </c>
      <c r="M119" s="23">
        <f>SUM(EDProj[[#This Row],[★ Hard Case Voting Machines]:[★ Curbside (Rollie) Voting Machine]])</f>
        <v>5</v>
      </c>
      <c r="N119" s="23">
        <v>1</v>
      </c>
      <c r="O119" s="27">
        <v>5</v>
      </c>
      <c r="P119" s="27">
        <v>1</v>
      </c>
      <c r="Q119" s="23">
        <v>1</v>
      </c>
      <c r="R119" s="27">
        <f>EDProj[[#This Row],[★ Judge]]+EDProj[[#This Row],[★ Alt Judge]]+EDProj[[#This Row],[★ Clerks]]</f>
        <v>7</v>
      </c>
      <c r="S119" s="28">
        <v>500</v>
      </c>
      <c r="T119" s="23">
        <f>EDProj[[#This Row],[★ Ballot Cards]]/250</f>
        <v>2</v>
      </c>
      <c r="U119" s="38">
        <f>EDProj[[#This Row],[★ Soft Case (ADA) Voting Machines]]+EDProj[[#This Row],[Old EPB Allocation]]</f>
        <v>5</v>
      </c>
      <c r="V119" s="38">
        <f>EDProj[[#This Row],[Tables Needed]]</f>
        <v>5</v>
      </c>
      <c r="W119" s="27">
        <v>0</v>
      </c>
      <c r="X119" s="27">
        <v>0</v>
      </c>
      <c r="Y119" s="23">
        <f>ROUNDUP(IF(EDProj[[#This Row],[Tables Needed]]-EDProj[[#This Row],[Tables Provided by the Vote Center]]&lt;0,0,EDProj[[#This Row],[Tables Needed]]-EDProj[[#This Row],[Tables Provided by the Vote Center]]),0)</f>
        <v>5</v>
      </c>
      <c r="Z119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120" spans="1:26" ht="13.9">
      <c r="A120" s="23" t="s">
        <v>294</v>
      </c>
      <c r="B120" s="24" t="s">
        <v>295</v>
      </c>
      <c r="C120" s="73" t="s">
        <v>509</v>
      </c>
      <c r="D120" s="25" t="s">
        <v>522</v>
      </c>
      <c r="E120" s="26" t="s">
        <v>523</v>
      </c>
      <c r="F120" s="92">
        <v>239</v>
      </c>
      <c r="G120" s="27">
        <v>4</v>
      </c>
      <c r="H120" s="27">
        <v>4</v>
      </c>
      <c r="I120" s="27">
        <v>3</v>
      </c>
      <c r="J120" s="27">
        <v>1</v>
      </c>
      <c r="K120" s="27">
        <v>0</v>
      </c>
      <c r="L120" s="27">
        <v>0</v>
      </c>
      <c r="M120" s="23">
        <f>SUM(EDProj[[#This Row],[★ Hard Case Voting Machines]:[★ Curbside (Rollie) Voting Machine]])</f>
        <v>4</v>
      </c>
      <c r="N120" s="23">
        <v>1</v>
      </c>
      <c r="O120" s="27">
        <v>4</v>
      </c>
      <c r="P120" s="27">
        <v>1</v>
      </c>
      <c r="Q120" s="23">
        <v>1</v>
      </c>
      <c r="R120" s="27">
        <f>EDProj[[#This Row],[★ Judge]]+EDProj[[#This Row],[★ Alt Judge]]+EDProj[[#This Row],[★ Clerks]]</f>
        <v>6</v>
      </c>
      <c r="S120" s="28">
        <v>500</v>
      </c>
      <c r="T120" s="23">
        <f>EDProj[[#This Row],[★ Ballot Cards]]/250</f>
        <v>2</v>
      </c>
      <c r="U120" s="38">
        <f>EDProj[[#This Row],[★ Soft Case (ADA) Voting Machines]]+EDProj[[#This Row],[Old EPB Allocation]]</f>
        <v>5</v>
      </c>
      <c r="V120" s="38">
        <f>EDProj[[#This Row],[Tables Needed]]</f>
        <v>5</v>
      </c>
      <c r="W120" s="27">
        <v>0</v>
      </c>
      <c r="X120" s="27">
        <v>0</v>
      </c>
      <c r="Y120" s="23">
        <f>ROUNDUP(IF(EDProj[[#This Row],[Tables Needed]]-EDProj[[#This Row],[Tables Provided by the Vote Center]]&lt;0,0,EDProj[[#This Row],[Tables Needed]]-EDProj[[#This Row],[Tables Provided by the Vote Center]]),0)</f>
        <v>5</v>
      </c>
      <c r="Z120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121" spans="1:26" ht="13.9">
      <c r="A121" s="23" t="s">
        <v>294</v>
      </c>
      <c r="B121" s="24" t="s">
        <v>295</v>
      </c>
      <c r="C121" s="73" t="s">
        <v>509</v>
      </c>
      <c r="D121" s="25" t="s">
        <v>524</v>
      </c>
      <c r="E121" s="26" t="s">
        <v>525</v>
      </c>
      <c r="F121" s="92">
        <v>479</v>
      </c>
      <c r="G121" s="27">
        <v>4</v>
      </c>
      <c r="H121" s="27">
        <v>4</v>
      </c>
      <c r="I121" s="27">
        <v>8</v>
      </c>
      <c r="J121" s="27">
        <v>1</v>
      </c>
      <c r="K121" s="27">
        <v>0</v>
      </c>
      <c r="L121" s="27">
        <v>1</v>
      </c>
      <c r="M121" s="23">
        <f>SUM(EDProj[[#This Row],[★ Hard Case Voting Machines]:[★ Curbside (Rollie) Voting Machine]])</f>
        <v>10</v>
      </c>
      <c r="N121" s="23">
        <v>1</v>
      </c>
      <c r="O121" s="27">
        <v>6</v>
      </c>
      <c r="P121" s="27">
        <v>1</v>
      </c>
      <c r="Q121" s="23">
        <v>1</v>
      </c>
      <c r="R121" s="27">
        <f>EDProj[[#This Row],[★ Judge]]+EDProj[[#This Row],[★ Alt Judge]]+EDProj[[#This Row],[★ Clerks]]</f>
        <v>8</v>
      </c>
      <c r="S121" s="28">
        <v>1000</v>
      </c>
      <c r="T121" s="23">
        <f>EDProj[[#This Row],[★ Ballot Cards]]/250</f>
        <v>4</v>
      </c>
      <c r="U121" s="38">
        <f>EDProj[[#This Row],[★ Soft Case (ADA) Voting Machines]]+EDProj[[#This Row],[Old EPB Allocation]]</f>
        <v>5</v>
      </c>
      <c r="V121" s="38">
        <f>EDProj[[#This Row],[Tables Needed]]</f>
        <v>5</v>
      </c>
      <c r="W121" s="27">
        <v>20</v>
      </c>
      <c r="X121" s="27">
        <v>100</v>
      </c>
      <c r="Y121" s="23">
        <f>ROUNDUP(IF(EDProj[[#This Row],[Tables Needed]]-EDProj[[#This Row],[Tables Provided by the Vote Center]]&lt;0,0,EDProj[[#This Row],[Tables Needed]]-EDProj[[#This Row],[Tables Provided by the Vote Center]]),0)</f>
        <v>0</v>
      </c>
      <c r="Z121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122" spans="1:26" ht="13.9">
      <c r="A122" s="23" t="s">
        <v>294</v>
      </c>
      <c r="B122" s="24" t="s">
        <v>295</v>
      </c>
      <c r="C122" s="73" t="s">
        <v>509</v>
      </c>
      <c r="D122" s="25" t="s">
        <v>526</v>
      </c>
      <c r="E122" s="26" t="s">
        <v>527</v>
      </c>
      <c r="F122" s="92">
        <v>190</v>
      </c>
      <c r="G122" s="27">
        <v>4</v>
      </c>
      <c r="H122" s="27">
        <v>4</v>
      </c>
      <c r="I122" s="27">
        <v>4</v>
      </c>
      <c r="J122" s="27">
        <v>1</v>
      </c>
      <c r="K122" s="27">
        <v>0</v>
      </c>
      <c r="L122" s="27">
        <v>0</v>
      </c>
      <c r="M122" s="23">
        <f>SUM(EDProj[[#This Row],[★ Hard Case Voting Machines]:[★ Curbside (Rollie) Voting Machine]])</f>
        <v>5</v>
      </c>
      <c r="N122" s="23">
        <v>1</v>
      </c>
      <c r="O122" s="27">
        <v>5</v>
      </c>
      <c r="P122" s="27">
        <v>1</v>
      </c>
      <c r="Q122" s="23">
        <v>1</v>
      </c>
      <c r="R122" s="27">
        <f>EDProj[[#This Row],[★ Judge]]+EDProj[[#This Row],[★ Alt Judge]]+EDProj[[#This Row],[★ Clerks]]</f>
        <v>7</v>
      </c>
      <c r="S122" s="28">
        <v>500</v>
      </c>
      <c r="T122" s="23">
        <f>EDProj[[#This Row],[★ Ballot Cards]]/250</f>
        <v>2</v>
      </c>
      <c r="U122" s="38">
        <f>EDProj[[#This Row],[★ Soft Case (ADA) Voting Machines]]+EDProj[[#This Row],[Old EPB Allocation]]</f>
        <v>5</v>
      </c>
      <c r="V122" s="38">
        <f>EDProj[[#This Row],[Tables Needed]]</f>
        <v>5</v>
      </c>
      <c r="W122" s="27">
        <v>2</v>
      </c>
      <c r="X122" s="27">
        <v>5</v>
      </c>
      <c r="Y122" s="23">
        <f>ROUNDUP(IF(EDProj[[#This Row],[Tables Needed]]-EDProj[[#This Row],[Tables Provided by the Vote Center]]&lt;0,0,EDProj[[#This Row],[Tables Needed]]-EDProj[[#This Row],[Tables Provided by the Vote Center]]),0)</f>
        <v>3</v>
      </c>
      <c r="Z122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123" spans="1:26" ht="13.9">
      <c r="A123" s="23" t="s">
        <v>294</v>
      </c>
      <c r="B123" s="24" t="s">
        <v>295</v>
      </c>
      <c r="C123" s="73" t="s">
        <v>509</v>
      </c>
      <c r="D123" s="25" t="s">
        <v>528</v>
      </c>
      <c r="E123" s="26" t="s">
        <v>529</v>
      </c>
      <c r="F123" s="92">
        <v>217</v>
      </c>
      <c r="G123" s="27">
        <v>4</v>
      </c>
      <c r="H123" s="27">
        <v>4</v>
      </c>
      <c r="I123" s="27">
        <v>3</v>
      </c>
      <c r="J123" s="27">
        <v>1</v>
      </c>
      <c r="K123" s="27">
        <v>0</v>
      </c>
      <c r="L123" s="27">
        <v>0</v>
      </c>
      <c r="M123" s="23">
        <f>SUM(EDProj[[#This Row],[★ Hard Case Voting Machines]:[★ Curbside (Rollie) Voting Machine]])</f>
        <v>4</v>
      </c>
      <c r="N123" s="23">
        <v>1</v>
      </c>
      <c r="O123" s="27">
        <v>4</v>
      </c>
      <c r="P123" s="27">
        <v>1</v>
      </c>
      <c r="Q123" s="23">
        <v>1</v>
      </c>
      <c r="R123" s="27">
        <f>EDProj[[#This Row],[★ Judge]]+EDProj[[#This Row],[★ Alt Judge]]+EDProj[[#This Row],[★ Clerks]]</f>
        <v>6</v>
      </c>
      <c r="S123" s="28">
        <v>500</v>
      </c>
      <c r="T123" s="23">
        <f>EDProj[[#This Row],[★ Ballot Cards]]/250</f>
        <v>2</v>
      </c>
      <c r="U123" s="38">
        <f>EDProj[[#This Row],[★ Soft Case (ADA) Voting Machines]]+EDProj[[#This Row],[Old EPB Allocation]]</f>
        <v>5</v>
      </c>
      <c r="V123" s="38">
        <f>EDProj[[#This Row],[Tables Needed]]</f>
        <v>5</v>
      </c>
      <c r="W123" s="27">
        <v>0</v>
      </c>
      <c r="X123" s="27">
        <v>0</v>
      </c>
      <c r="Y123" s="23">
        <f>ROUNDUP(IF(EDProj[[#This Row],[Tables Needed]]-EDProj[[#This Row],[Tables Provided by the Vote Center]]&lt;0,0,EDProj[[#This Row],[Tables Needed]]-EDProj[[#This Row],[Tables Provided by the Vote Center]]),0)</f>
        <v>5</v>
      </c>
      <c r="Z123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124" spans="1:26" ht="13.9">
      <c r="A124" s="23" t="s">
        <v>294</v>
      </c>
      <c r="B124" s="24" t="s">
        <v>295</v>
      </c>
      <c r="C124" s="73" t="s">
        <v>509</v>
      </c>
      <c r="D124" s="25" t="s">
        <v>530</v>
      </c>
      <c r="E124" s="26" t="s">
        <v>531</v>
      </c>
      <c r="F124" s="92">
        <v>166</v>
      </c>
      <c r="G124" s="27">
        <v>4</v>
      </c>
      <c r="H124" s="27">
        <v>4</v>
      </c>
      <c r="I124" s="27">
        <v>3</v>
      </c>
      <c r="J124" s="27">
        <v>1</v>
      </c>
      <c r="K124" s="27">
        <v>0</v>
      </c>
      <c r="L124" s="27">
        <v>0</v>
      </c>
      <c r="M124" s="23">
        <f>SUM(EDProj[[#This Row],[★ Hard Case Voting Machines]:[★ Curbside (Rollie) Voting Machine]])</f>
        <v>4</v>
      </c>
      <c r="N124" s="23">
        <v>1</v>
      </c>
      <c r="O124" s="27">
        <v>4</v>
      </c>
      <c r="P124" s="27">
        <v>1</v>
      </c>
      <c r="Q124" s="23">
        <v>1</v>
      </c>
      <c r="R124" s="27">
        <f>EDProj[[#This Row],[★ Judge]]+EDProj[[#This Row],[★ Alt Judge]]+EDProj[[#This Row],[★ Clerks]]</f>
        <v>6</v>
      </c>
      <c r="S124" s="28">
        <v>500</v>
      </c>
      <c r="T124" s="23">
        <f>EDProj[[#This Row],[★ Ballot Cards]]/250</f>
        <v>2</v>
      </c>
      <c r="U124" s="38">
        <f>EDProj[[#This Row],[★ Soft Case (ADA) Voting Machines]]+EDProj[[#This Row],[Old EPB Allocation]]</f>
        <v>5</v>
      </c>
      <c r="V124" s="38">
        <f>EDProj[[#This Row],[Tables Needed]]</f>
        <v>5</v>
      </c>
      <c r="W124" s="27">
        <v>0</v>
      </c>
      <c r="X124" s="27">
        <v>0</v>
      </c>
      <c r="Y124" s="23">
        <f>ROUNDUP(IF(EDProj[[#This Row],[Tables Needed]]-EDProj[[#This Row],[Tables Provided by the Vote Center]]&lt;0,0,EDProj[[#This Row],[Tables Needed]]-EDProj[[#This Row],[Tables Provided by the Vote Center]]),0)</f>
        <v>5</v>
      </c>
      <c r="Z124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125" spans="1:26" ht="13.9">
      <c r="A125" s="23" t="s">
        <v>294</v>
      </c>
      <c r="B125" s="24" t="s">
        <v>295</v>
      </c>
      <c r="C125" s="73" t="s">
        <v>509</v>
      </c>
      <c r="D125" s="25" t="s">
        <v>532</v>
      </c>
      <c r="E125" s="26" t="s">
        <v>533</v>
      </c>
      <c r="F125" s="92">
        <v>183</v>
      </c>
      <c r="G125" s="27">
        <v>4</v>
      </c>
      <c r="H125" s="27">
        <v>4</v>
      </c>
      <c r="I125" s="27">
        <v>3</v>
      </c>
      <c r="J125" s="27">
        <v>1</v>
      </c>
      <c r="K125" s="27">
        <v>0</v>
      </c>
      <c r="L125" s="27">
        <v>0</v>
      </c>
      <c r="M125" s="23">
        <f>SUM(EDProj[[#This Row],[★ Hard Case Voting Machines]:[★ Curbside (Rollie) Voting Machine]])</f>
        <v>4</v>
      </c>
      <c r="N125" s="23">
        <v>1</v>
      </c>
      <c r="O125" s="27">
        <v>4</v>
      </c>
      <c r="P125" s="27">
        <v>1</v>
      </c>
      <c r="Q125" s="23">
        <v>1</v>
      </c>
      <c r="R125" s="27">
        <f>EDProj[[#This Row],[★ Judge]]+EDProj[[#This Row],[★ Alt Judge]]+EDProj[[#This Row],[★ Clerks]]</f>
        <v>6</v>
      </c>
      <c r="S125" s="28">
        <v>500</v>
      </c>
      <c r="T125" s="23">
        <f>EDProj[[#This Row],[★ Ballot Cards]]/250</f>
        <v>2</v>
      </c>
      <c r="U125" s="38">
        <f>EDProj[[#This Row],[★ Soft Case (ADA) Voting Machines]]+EDProj[[#This Row],[Old EPB Allocation]]</f>
        <v>5</v>
      </c>
      <c r="V125" s="38">
        <f>EDProj[[#This Row],[Tables Needed]]</f>
        <v>5</v>
      </c>
      <c r="W125" s="27">
        <v>0</v>
      </c>
      <c r="X125" s="27">
        <v>0</v>
      </c>
      <c r="Y125" s="23">
        <f>ROUNDUP(IF(EDProj[[#This Row],[Tables Needed]]-EDProj[[#This Row],[Tables Provided by the Vote Center]]&lt;0,0,EDProj[[#This Row],[Tables Needed]]-EDProj[[#This Row],[Tables Provided by the Vote Center]]),0)</f>
        <v>5</v>
      </c>
      <c r="Z125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126" spans="1:26" ht="13.9">
      <c r="A126" s="23" t="s">
        <v>113</v>
      </c>
      <c r="B126" s="24" t="s">
        <v>289</v>
      </c>
      <c r="C126" s="73" t="s">
        <v>509</v>
      </c>
      <c r="D126" s="25" t="s">
        <v>288</v>
      </c>
      <c r="E126" s="26" t="s">
        <v>290</v>
      </c>
      <c r="F126" s="92">
        <v>1255</v>
      </c>
      <c r="G126" s="27">
        <v>5.1666666666666661</v>
      </c>
      <c r="H126" s="27">
        <v>6</v>
      </c>
      <c r="I126" s="27">
        <v>16</v>
      </c>
      <c r="J126" s="27">
        <v>1</v>
      </c>
      <c r="K126" s="27">
        <v>1</v>
      </c>
      <c r="L126" s="27">
        <v>1</v>
      </c>
      <c r="M126" s="23">
        <f>SUM(EDProj[[#This Row],[★ Hard Case Voting Machines]:[★ Curbside (Rollie) Voting Machine]])</f>
        <v>19</v>
      </c>
      <c r="N126" s="23">
        <v>1</v>
      </c>
      <c r="O126" s="27">
        <v>10</v>
      </c>
      <c r="P126" s="27">
        <v>1</v>
      </c>
      <c r="Q126" s="23">
        <v>1</v>
      </c>
      <c r="R126" s="27">
        <f>EDProj[[#This Row],[★ Judge]]+EDProj[[#This Row],[★ Alt Judge]]+EDProj[[#This Row],[★ Clerks]]</f>
        <v>12</v>
      </c>
      <c r="S126" s="28">
        <v>2250</v>
      </c>
      <c r="T126" s="23">
        <f>EDProj[[#This Row],[★ Ballot Cards]]/250</f>
        <v>9</v>
      </c>
      <c r="U126" s="38">
        <f>EDProj[[#This Row],[★ Soft Case (ADA) Voting Machines]]+EDProj[[#This Row],[Old EPB Allocation]]</f>
        <v>6.1666666666666661</v>
      </c>
      <c r="V126" s="38">
        <f>EDProj[[#This Row],[Tables Needed]]</f>
        <v>6.1666666666666661</v>
      </c>
      <c r="W126" s="27">
        <v>0</v>
      </c>
      <c r="X126" s="27">
        <v>0</v>
      </c>
      <c r="Y126" s="23">
        <f>ROUNDUP(IF(EDProj[[#This Row],[Tables Needed]]-EDProj[[#This Row],[Tables Provided by the Vote Center]]&lt;0,0,EDProj[[#This Row],[Tables Needed]]-EDProj[[#This Row],[Tables Provided by the Vote Center]]),0)</f>
        <v>7</v>
      </c>
      <c r="Z126" s="23">
        <f>ROUNDUP(IF(EDProj[[#This Row],[Chairs Needed]]-EDProj[[#This Row],[Chairs Provided by the Vote Center]]&lt;0,0,EDProj[[#This Row],[Chairs Needed]]-EDProj[[#This Row],[Chairs Provided by the Vote Center]]),0)</f>
        <v>7</v>
      </c>
    </row>
    <row r="127" spans="1:26" ht="13.9">
      <c r="A127" s="23" t="s">
        <v>294</v>
      </c>
      <c r="B127" s="24" t="s">
        <v>295</v>
      </c>
      <c r="C127" s="73" t="s">
        <v>509</v>
      </c>
      <c r="D127" s="25" t="s">
        <v>534</v>
      </c>
      <c r="E127" s="26" t="s">
        <v>535</v>
      </c>
      <c r="F127" s="92">
        <v>291</v>
      </c>
      <c r="G127" s="27">
        <v>4</v>
      </c>
      <c r="H127" s="27">
        <v>4</v>
      </c>
      <c r="I127" s="27">
        <v>5</v>
      </c>
      <c r="J127" s="27">
        <v>1</v>
      </c>
      <c r="K127" s="27">
        <v>0</v>
      </c>
      <c r="L127" s="27">
        <v>0</v>
      </c>
      <c r="M127" s="23">
        <f>SUM(EDProj[[#This Row],[★ Hard Case Voting Machines]:[★ Curbside (Rollie) Voting Machine]])</f>
        <v>6</v>
      </c>
      <c r="N127" s="23">
        <v>1</v>
      </c>
      <c r="O127" s="27">
        <v>5</v>
      </c>
      <c r="P127" s="27">
        <v>1</v>
      </c>
      <c r="Q127" s="23">
        <v>1</v>
      </c>
      <c r="R127" s="27">
        <f>EDProj[[#This Row],[★ Judge]]+EDProj[[#This Row],[★ Alt Judge]]+EDProj[[#This Row],[★ Clerks]]</f>
        <v>7</v>
      </c>
      <c r="S127" s="28">
        <v>500</v>
      </c>
      <c r="T127" s="23">
        <f>EDProj[[#This Row],[★ Ballot Cards]]/250</f>
        <v>2</v>
      </c>
      <c r="U127" s="38">
        <f>EDProj[[#This Row],[★ Soft Case (ADA) Voting Machines]]+EDProj[[#This Row],[Old EPB Allocation]]</f>
        <v>5</v>
      </c>
      <c r="V127" s="38">
        <f>EDProj[[#This Row],[Tables Needed]]</f>
        <v>5</v>
      </c>
      <c r="W127" s="27">
        <v>0</v>
      </c>
      <c r="X127" s="27">
        <v>0</v>
      </c>
      <c r="Y127" s="23">
        <f>ROUNDUP(IF(EDProj[[#This Row],[Tables Needed]]-EDProj[[#This Row],[Tables Provided by the Vote Center]]&lt;0,0,EDProj[[#This Row],[Tables Needed]]-EDProj[[#This Row],[Tables Provided by the Vote Center]]),0)</f>
        <v>5</v>
      </c>
      <c r="Z127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128" spans="1:26" ht="13.9">
      <c r="A128" s="23" t="s">
        <v>294</v>
      </c>
      <c r="B128" s="24" t="s">
        <v>295</v>
      </c>
      <c r="C128" s="73" t="s">
        <v>509</v>
      </c>
      <c r="D128" s="25" t="s">
        <v>536</v>
      </c>
      <c r="E128" s="26" t="s">
        <v>537</v>
      </c>
      <c r="F128" s="92">
        <v>220</v>
      </c>
      <c r="G128" s="27">
        <v>4</v>
      </c>
      <c r="H128" s="27">
        <v>4</v>
      </c>
      <c r="I128" s="27">
        <v>4</v>
      </c>
      <c r="J128" s="27">
        <v>1</v>
      </c>
      <c r="K128" s="27">
        <v>0</v>
      </c>
      <c r="L128" s="27">
        <v>0</v>
      </c>
      <c r="M128" s="23">
        <f>SUM(EDProj[[#This Row],[★ Hard Case Voting Machines]:[★ Curbside (Rollie) Voting Machine]])</f>
        <v>5</v>
      </c>
      <c r="N128" s="23">
        <v>1</v>
      </c>
      <c r="O128" s="27">
        <v>5</v>
      </c>
      <c r="P128" s="27">
        <v>1</v>
      </c>
      <c r="Q128" s="23">
        <v>1</v>
      </c>
      <c r="R128" s="27">
        <f>EDProj[[#This Row],[★ Judge]]+EDProj[[#This Row],[★ Alt Judge]]+EDProj[[#This Row],[★ Clerks]]</f>
        <v>7</v>
      </c>
      <c r="S128" s="28">
        <v>500</v>
      </c>
      <c r="T128" s="23">
        <f>EDProj[[#This Row],[★ Ballot Cards]]/250</f>
        <v>2</v>
      </c>
      <c r="U128" s="38">
        <f>EDProj[[#This Row],[★ Soft Case (ADA) Voting Machines]]+EDProj[[#This Row],[Old EPB Allocation]]</f>
        <v>5</v>
      </c>
      <c r="V128" s="38">
        <f>EDProj[[#This Row],[Tables Needed]]</f>
        <v>5</v>
      </c>
      <c r="W128" s="27">
        <v>0</v>
      </c>
      <c r="X128" s="27">
        <v>0</v>
      </c>
      <c r="Y128" s="23">
        <f>ROUNDUP(IF(EDProj[[#This Row],[Tables Needed]]-EDProj[[#This Row],[Tables Provided by the Vote Center]]&lt;0,0,EDProj[[#This Row],[Tables Needed]]-EDProj[[#This Row],[Tables Provided by the Vote Center]]),0)</f>
        <v>5</v>
      </c>
      <c r="Z128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129" spans="1:26" ht="13.9">
      <c r="A129" s="23" t="s">
        <v>294</v>
      </c>
      <c r="B129" s="24" t="s">
        <v>295</v>
      </c>
      <c r="C129" s="73" t="s">
        <v>509</v>
      </c>
      <c r="D129" s="25" t="s">
        <v>538</v>
      </c>
      <c r="E129" s="26" t="s">
        <v>539</v>
      </c>
      <c r="F129" s="92">
        <v>286</v>
      </c>
      <c r="G129" s="27">
        <v>4</v>
      </c>
      <c r="H129" s="27">
        <v>4</v>
      </c>
      <c r="I129" s="27">
        <v>5</v>
      </c>
      <c r="J129" s="27">
        <v>1</v>
      </c>
      <c r="K129" s="27">
        <v>0</v>
      </c>
      <c r="L129" s="27">
        <v>0</v>
      </c>
      <c r="M129" s="23">
        <f>SUM(EDProj[[#This Row],[★ Hard Case Voting Machines]:[★ Curbside (Rollie) Voting Machine]])</f>
        <v>6</v>
      </c>
      <c r="N129" s="23">
        <v>1</v>
      </c>
      <c r="O129" s="27">
        <v>5</v>
      </c>
      <c r="P129" s="27">
        <v>1</v>
      </c>
      <c r="Q129" s="23">
        <v>1</v>
      </c>
      <c r="R129" s="27">
        <f>EDProj[[#This Row],[★ Judge]]+EDProj[[#This Row],[★ Alt Judge]]+EDProj[[#This Row],[★ Clerks]]</f>
        <v>7</v>
      </c>
      <c r="S129" s="28">
        <v>500</v>
      </c>
      <c r="T129" s="23">
        <f>EDProj[[#This Row],[★ Ballot Cards]]/250</f>
        <v>2</v>
      </c>
      <c r="U129" s="38">
        <f>EDProj[[#This Row],[★ Soft Case (ADA) Voting Machines]]+EDProj[[#This Row],[Old EPB Allocation]]</f>
        <v>5</v>
      </c>
      <c r="V129" s="38">
        <f>EDProj[[#This Row],[Tables Needed]]</f>
        <v>5</v>
      </c>
      <c r="W129" s="27">
        <v>0</v>
      </c>
      <c r="X129" s="27">
        <v>0</v>
      </c>
      <c r="Y129" s="23">
        <f>ROUNDUP(IF(EDProj[[#This Row],[Tables Needed]]-EDProj[[#This Row],[Tables Provided by the Vote Center]]&lt;0,0,EDProj[[#This Row],[Tables Needed]]-EDProj[[#This Row],[Tables Provided by the Vote Center]]),0)</f>
        <v>5</v>
      </c>
      <c r="Z129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130" spans="1:26" ht="13.9">
      <c r="A130" s="23" t="s">
        <v>294</v>
      </c>
      <c r="B130" s="24" t="s">
        <v>295</v>
      </c>
      <c r="C130" s="73" t="s">
        <v>509</v>
      </c>
      <c r="D130" s="25" t="s">
        <v>540</v>
      </c>
      <c r="E130" s="26" t="s">
        <v>541</v>
      </c>
      <c r="F130" s="92">
        <v>252</v>
      </c>
      <c r="G130" s="27">
        <v>4</v>
      </c>
      <c r="H130" s="27">
        <v>4</v>
      </c>
      <c r="I130" s="27">
        <v>4</v>
      </c>
      <c r="J130" s="27">
        <v>1</v>
      </c>
      <c r="K130" s="27">
        <v>0</v>
      </c>
      <c r="L130" s="27">
        <v>0</v>
      </c>
      <c r="M130" s="23">
        <f>SUM(EDProj[[#This Row],[★ Hard Case Voting Machines]:[★ Curbside (Rollie) Voting Machine]])</f>
        <v>5</v>
      </c>
      <c r="N130" s="23">
        <v>1</v>
      </c>
      <c r="O130" s="27">
        <v>5</v>
      </c>
      <c r="P130" s="27">
        <v>1</v>
      </c>
      <c r="Q130" s="23">
        <v>1</v>
      </c>
      <c r="R130" s="27">
        <f>EDProj[[#This Row],[★ Judge]]+EDProj[[#This Row],[★ Alt Judge]]+EDProj[[#This Row],[★ Clerks]]</f>
        <v>7</v>
      </c>
      <c r="S130" s="28">
        <v>500</v>
      </c>
      <c r="T130" s="23">
        <f>EDProj[[#This Row],[★ Ballot Cards]]/250</f>
        <v>2</v>
      </c>
      <c r="U130" s="38">
        <f>EDProj[[#This Row],[★ Soft Case (ADA) Voting Machines]]+EDProj[[#This Row],[Old EPB Allocation]]</f>
        <v>5</v>
      </c>
      <c r="V130" s="38">
        <f>EDProj[[#This Row],[Tables Needed]]</f>
        <v>5</v>
      </c>
      <c r="W130" s="27">
        <v>0</v>
      </c>
      <c r="X130" s="27">
        <v>0</v>
      </c>
      <c r="Y130" s="23">
        <f>ROUNDUP(IF(EDProj[[#This Row],[Tables Needed]]-EDProj[[#This Row],[Tables Provided by the Vote Center]]&lt;0,0,EDProj[[#This Row],[Tables Needed]]-EDProj[[#This Row],[Tables Provided by the Vote Center]]),0)</f>
        <v>5</v>
      </c>
      <c r="Z130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131" spans="1:26" ht="13.9">
      <c r="A131" s="23" t="s">
        <v>294</v>
      </c>
      <c r="B131" s="24" t="s">
        <v>295</v>
      </c>
      <c r="C131" s="73" t="s">
        <v>509</v>
      </c>
      <c r="D131" s="25" t="s">
        <v>542</v>
      </c>
      <c r="E131" s="26" t="s">
        <v>543</v>
      </c>
      <c r="F131" s="92">
        <v>243</v>
      </c>
      <c r="G131" s="27">
        <v>4</v>
      </c>
      <c r="H131" s="27">
        <v>4</v>
      </c>
      <c r="I131" s="27">
        <v>4</v>
      </c>
      <c r="J131" s="27">
        <v>1</v>
      </c>
      <c r="K131" s="27">
        <v>0</v>
      </c>
      <c r="L131" s="27">
        <v>0</v>
      </c>
      <c r="M131" s="23">
        <f>SUM(EDProj[[#This Row],[★ Hard Case Voting Machines]:[★ Curbside (Rollie) Voting Machine]])</f>
        <v>5</v>
      </c>
      <c r="N131" s="23">
        <v>1</v>
      </c>
      <c r="O131" s="27">
        <v>5</v>
      </c>
      <c r="P131" s="27">
        <v>1</v>
      </c>
      <c r="Q131" s="23">
        <v>1</v>
      </c>
      <c r="R131" s="27">
        <f>EDProj[[#This Row],[★ Judge]]+EDProj[[#This Row],[★ Alt Judge]]+EDProj[[#This Row],[★ Clerks]]</f>
        <v>7</v>
      </c>
      <c r="S131" s="28">
        <v>500</v>
      </c>
      <c r="T131" s="23">
        <f>EDProj[[#This Row],[★ Ballot Cards]]/250</f>
        <v>2</v>
      </c>
      <c r="U131" s="38">
        <f>EDProj[[#This Row],[★ Soft Case (ADA) Voting Machines]]+EDProj[[#This Row],[Old EPB Allocation]]</f>
        <v>5</v>
      </c>
      <c r="V131" s="38">
        <f>EDProj[[#This Row],[Tables Needed]]</f>
        <v>5</v>
      </c>
      <c r="W131" s="27">
        <v>0</v>
      </c>
      <c r="X131" s="27">
        <v>0</v>
      </c>
      <c r="Y131" s="23">
        <f>ROUNDUP(IF(EDProj[[#This Row],[Tables Needed]]-EDProj[[#This Row],[Tables Provided by the Vote Center]]&lt;0,0,EDProj[[#This Row],[Tables Needed]]-EDProj[[#This Row],[Tables Provided by the Vote Center]]),0)</f>
        <v>5</v>
      </c>
      <c r="Z131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132" spans="1:26" ht="13.9">
      <c r="A132" s="23" t="s">
        <v>294</v>
      </c>
      <c r="B132" s="24" t="s">
        <v>295</v>
      </c>
      <c r="C132" s="73" t="s">
        <v>509</v>
      </c>
      <c r="D132" s="30" t="s">
        <v>544</v>
      </c>
      <c r="E132" s="31" t="s">
        <v>545</v>
      </c>
      <c r="F132" s="93">
        <v>409</v>
      </c>
      <c r="G132" s="27">
        <v>4</v>
      </c>
      <c r="H132" s="27">
        <v>4</v>
      </c>
      <c r="I132" s="27">
        <v>6</v>
      </c>
      <c r="J132" s="27">
        <v>1</v>
      </c>
      <c r="K132" s="27">
        <v>0</v>
      </c>
      <c r="L132" s="27">
        <v>0</v>
      </c>
      <c r="M132" s="23">
        <f>SUM(EDProj[[#This Row],[★ Hard Case Voting Machines]:[★ Curbside (Rollie) Voting Machine]])</f>
        <v>7</v>
      </c>
      <c r="N132" s="23">
        <v>1</v>
      </c>
      <c r="O132" s="27">
        <v>5</v>
      </c>
      <c r="P132" s="27">
        <v>1</v>
      </c>
      <c r="Q132" s="23">
        <v>1</v>
      </c>
      <c r="R132" s="27">
        <f>EDProj[[#This Row],[★ Judge]]+EDProj[[#This Row],[★ Alt Judge]]+EDProj[[#This Row],[★ Clerks]]</f>
        <v>7</v>
      </c>
      <c r="S132" s="28">
        <v>750</v>
      </c>
      <c r="T132" s="23">
        <f>EDProj[[#This Row],[★ Ballot Cards]]/250</f>
        <v>3</v>
      </c>
      <c r="U132" s="38">
        <f>EDProj[[#This Row],[★ Soft Case (ADA) Voting Machines]]+EDProj[[#This Row],[Old EPB Allocation]]</f>
        <v>5</v>
      </c>
      <c r="V132" s="38">
        <f>EDProj[[#This Row],[Tables Needed]]</f>
        <v>5</v>
      </c>
      <c r="W132" s="27">
        <v>0</v>
      </c>
      <c r="X132" s="27">
        <v>0</v>
      </c>
      <c r="Y132" s="23">
        <f>ROUNDUP(IF(EDProj[[#This Row],[Tables Needed]]-EDProj[[#This Row],[Tables Provided by the Vote Center]]&lt;0,0,EDProj[[#This Row],[Tables Needed]]-EDProj[[#This Row],[Tables Provided by the Vote Center]]),0)</f>
        <v>5</v>
      </c>
      <c r="Z132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133" spans="1:26" ht="13.9">
      <c r="A133" s="23" t="s">
        <v>294</v>
      </c>
      <c r="B133" s="24" t="s">
        <v>295</v>
      </c>
      <c r="C133" s="73" t="s">
        <v>509</v>
      </c>
      <c r="D133" s="30" t="s">
        <v>546</v>
      </c>
      <c r="E133" s="31" t="s">
        <v>547</v>
      </c>
      <c r="F133" s="93">
        <v>235</v>
      </c>
      <c r="G133" s="27">
        <v>4</v>
      </c>
      <c r="H133" s="27">
        <v>4</v>
      </c>
      <c r="I133" s="27">
        <v>3</v>
      </c>
      <c r="J133" s="27">
        <v>1</v>
      </c>
      <c r="K133" s="27">
        <v>0</v>
      </c>
      <c r="L133" s="27">
        <v>0</v>
      </c>
      <c r="M133" s="23">
        <f>SUM(EDProj[[#This Row],[★ Hard Case Voting Machines]:[★ Curbside (Rollie) Voting Machine]])</f>
        <v>4</v>
      </c>
      <c r="N133" s="23">
        <v>1</v>
      </c>
      <c r="O133" s="27">
        <v>4</v>
      </c>
      <c r="P133" s="27">
        <v>1</v>
      </c>
      <c r="Q133" s="23">
        <v>1</v>
      </c>
      <c r="R133" s="27">
        <f>EDProj[[#This Row],[★ Judge]]+EDProj[[#This Row],[★ Alt Judge]]+EDProj[[#This Row],[★ Clerks]]</f>
        <v>6</v>
      </c>
      <c r="S133" s="28">
        <v>500</v>
      </c>
      <c r="T133" s="23">
        <f>EDProj[[#This Row],[★ Ballot Cards]]/250</f>
        <v>2</v>
      </c>
      <c r="U133" s="38">
        <f>EDProj[[#This Row],[★ Soft Case (ADA) Voting Machines]]+EDProj[[#This Row],[Old EPB Allocation]]</f>
        <v>5</v>
      </c>
      <c r="V133" s="38">
        <f>EDProj[[#This Row],[Tables Needed]]</f>
        <v>5</v>
      </c>
      <c r="W133" s="27">
        <v>0</v>
      </c>
      <c r="X133" s="27">
        <v>0</v>
      </c>
      <c r="Y133" s="23">
        <f>ROUNDUP(IF(EDProj[[#This Row],[Tables Needed]]-EDProj[[#This Row],[Tables Provided by the Vote Center]]&lt;0,0,EDProj[[#This Row],[Tables Needed]]-EDProj[[#This Row],[Tables Provided by the Vote Center]]),0)</f>
        <v>5</v>
      </c>
      <c r="Z133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134" spans="1:26" ht="13.9">
      <c r="A134" s="23" t="s">
        <v>294</v>
      </c>
      <c r="B134" s="24" t="s">
        <v>295</v>
      </c>
      <c r="C134" s="73" t="s">
        <v>509</v>
      </c>
      <c r="D134" s="25" t="s">
        <v>548</v>
      </c>
      <c r="E134" s="26" t="s">
        <v>549</v>
      </c>
      <c r="F134" s="92">
        <v>105</v>
      </c>
      <c r="G134" s="27">
        <v>4</v>
      </c>
      <c r="H134" s="27">
        <v>4</v>
      </c>
      <c r="I134" s="27">
        <v>2</v>
      </c>
      <c r="J134" s="27">
        <v>1</v>
      </c>
      <c r="K134" s="27">
        <v>0</v>
      </c>
      <c r="L134" s="27">
        <v>0</v>
      </c>
      <c r="M134" s="23">
        <f>SUM(EDProj[[#This Row],[★ Hard Case Voting Machines]:[★ Curbside (Rollie) Voting Machine]])</f>
        <v>3</v>
      </c>
      <c r="N134" s="23">
        <v>1</v>
      </c>
      <c r="O134" s="27">
        <v>4</v>
      </c>
      <c r="P134" s="27">
        <v>1</v>
      </c>
      <c r="Q134" s="23">
        <v>1</v>
      </c>
      <c r="R134" s="27">
        <f>EDProj[[#This Row],[★ Judge]]+EDProj[[#This Row],[★ Alt Judge]]+EDProj[[#This Row],[★ Clerks]]</f>
        <v>6</v>
      </c>
      <c r="S134" s="28">
        <v>500</v>
      </c>
      <c r="T134" s="23">
        <f>EDProj[[#This Row],[★ Ballot Cards]]/250</f>
        <v>2</v>
      </c>
      <c r="U134" s="38">
        <f>EDProj[[#This Row],[★ Soft Case (ADA) Voting Machines]]+EDProj[[#This Row],[Old EPB Allocation]]</f>
        <v>5</v>
      </c>
      <c r="V134" s="38">
        <f>EDProj[[#This Row],[Tables Needed]]</f>
        <v>5</v>
      </c>
      <c r="W134" s="27">
        <v>0</v>
      </c>
      <c r="X134" s="27">
        <v>0</v>
      </c>
      <c r="Y134" s="23">
        <f>ROUNDUP(IF(EDProj[[#This Row],[Tables Needed]]-EDProj[[#This Row],[Tables Provided by the Vote Center]]&lt;0,0,EDProj[[#This Row],[Tables Needed]]-EDProj[[#This Row],[Tables Provided by the Vote Center]]),0)</f>
        <v>5</v>
      </c>
      <c r="Z134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135" spans="1:26" ht="13.9">
      <c r="A135" s="23" t="s">
        <v>294</v>
      </c>
      <c r="B135" s="24" t="s">
        <v>295</v>
      </c>
      <c r="C135" s="73" t="s">
        <v>509</v>
      </c>
      <c r="D135" s="25" t="s">
        <v>550</v>
      </c>
      <c r="E135" s="26" t="s">
        <v>551</v>
      </c>
      <c r="F135" s="92">
        <v>302</v>
      </c>
      <c r="G135" s="27">
        <v>4</v>
      </c>
      <c r="H135" s="27">
        <v>4</v>
      </c>
      <c r="I135" s="27">
        <v>5</v>
      </c>
      <c r="J135" s="27">
        <v>1</v>
      </c>
      <c r="K135" s="27">
        <v>0</v>
      </c>
      <c r="L135" s="27">
        <v>0</v>
      </c>
      <c r="M135" s="23">
        <f>SUM(EDProj[[#This Row],[★ Hard Case Voting Machines]:[★ Curbside (Rollie) Voting Machine]])</f>
        <v>6</v>
      </c>
      <c r="N135" s="23">
        <v>1</v>
      </c>
      <c r="O135" s="27">
        <v>6</v>
      </c>
      <c r="P135" s="27">
        <v>1</v>
      </c>
      <c r="Q135" s="23">
        <v>1</v>
      </c>
      <c r="R135" s="27">
        <f>EDProj[[#This Row],[★ Judge]]+EDProj[[#This Row],[★ Alt Judge]]+EDProj[[#This Row],[★ Clerks]]</f>
        <v>8</v>
      </c>
      <c r="S135" s="28">
        <v>500</v>
      </c>
      <c r="T135" s="23">
        <f>EDProj[[#This Row],[★ Ballot Cards]]/250</f>
        <v>2</v>
      </c>
      <c r="U135" s="38">
        <f>EDProj[[#This Row],[★ Soft Case (ADA) Voting Machines]]+EDProj[[#This Row],[Old EPB Allocation]]</f>
        <v>5</v>
      </c>
      <c r="V135" s="38">
        <f>EDProj[[#This Row],[Tables Needed]]</f>
        <v>5</v>
      </c>
      <c r="W135" s="27">
        <v>0</v>
      </c>
      <c r="X135" s="27">
        <v>0</v>
      </c>
      <c r="Y135" s="23">
        <f>ROUNDUP(IF(EDProj[[#This Row],[Tables Needed]]-EDProj[[#This Row],[Tables Provided by the Vote Center]]&lt;0,0,EDProj[[#This Row],[Tables Needed]]-EDProj[[#This Row],[Tables Provided by the Vote Center]]),0)</f>
        <v>5</v>
      </c>
      <c r="Z135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136" spans="1:26" ht="13.9">
      <c r="A136" s="23" t="s">
        <v>294</v>
      </c>
      <c r="B136" s="24" t="s">
        <v>295</v>
      </c>
      <c r="C136" s="73" t="s">
        <v>509</v>
      </c>
      <c r="D136" s="25" t="s">
        <v>552</v>
      </c>
      <c r="E136" s="26" t="s">
        <v>553</v>
      </c>
      <c r="F136" s="92">
        <v>198</v>
      </c>
      <c r="G136" s="27">
        <v>4</v>
      </c>
      <c r="H136" s="27">
        <v>4</v>
      </c>
      <c r="I136" s="27">
        <v>4</v>
      </c>
      <c r="J136" s="27">
        <v>1</v>
      </c>
      <c r="K136" s="27">
        <v>0</v>
      </c>
      <c r="L136" s="27">
        <v>0</v>
      </c>
      <c r="M136" s="23">
        <f>SUM(EDProj[[#This Row],[★ Hard Case Voting Machines]:[★ Curbside (Rollie) Voting Machine]])</f>
        <v>5</v>
      </c>
      <c r="N136" s="23">
        <v>1</v>
      </c>
      <c r="O136" s="27">
        <v>5</v>
      </c>
      <c r="P136" s="27">
        <v>1</v>
      </c>
      <c r="Q136" s="23">
        <v>1</v>
      </c>
      <c r="R136" s="27">
        <f>EDProj[[#This Row],[★ Judge]]+EDProj[[#This Row],[★ Alt Judge]]+EDProj[[#This Row],[★ Clerks]]</f>
        <v>7</v>
      </c>
      <c r="S136" s="28">
        <v>500</v>
      </c>
      <c r="T136" s="23">
        <f>EDProj[[#This Row],[★ Ballot Cards]]/250</f>
        <v>2</v>
      </c>
      <c r="U136" s="38">
        <f>EDProj[[#This Row],[★ Soft Case (ADA) Voting Machines]]+EDProj[[#This Row],[Old EPB Allocation]]</f>
        <v>5</v>
      </c>
      <c r="V136" s="38">
        <f>EDProj[[#This Row],[Tables Needed]]</f>
        <v>5</v>
      </c>
      <c r="W136" s="27">
        <v>0</v>
      </c>
      <c r="X136" s="27">
        <v>0</v>
      </c>
      <c r="Y136" s="23">
        <f>ROUNDUP(IF(EDProj[[#This Row],[Tables Needed]]-EDProj[[#This Row],[Tables Provided by the Vote Center]]&lt;0,0,EDProj[[#This Row],[Tables Needed]]-EDProj[[#This Row],[Tables Provided by the Vote Center]]),0)</f>
        <v>5</v>
      </c>
      <c r="Z136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137" spans="1:26" ht="13.9">
      <c r="A137" s="23" t="s">
        <v>294</v>
      </c>
      <c r="B137" s="24" t="s">
        <v>295</v>
      </c>
      <c r="C137" s="73" t="s">
        <v>509</v>
      </c>
      <c r="D137" s="25" t="s">
        <v>554</v>
      </c>
      <c r="E137" s="26" t="s">
        <v>555</v>
      </c>
      <c r="F137" s="92">
        <v>340</v>
      </c>
      <c r="G137" s="27">
        <v>4</v>
      </c>
      <c r="H137" s="27">
        <v>4</v>
      </c>
      <c r="I137" s="27">
        <v>6</v>
      </c>
      <c r="J137" s="27">
        <v>1</v>
      </c>
      <c r="K137" s="27">
        <v>0</v>
      </c>
      <c r="L137" s="27">
        <v>0</v>
      </c>
      <c r="M137" s="23">
        <f>SUM(EDProj[[#This Row],[★ Hard Case Voting Machines]:[★ Curbside (Rollie) Voting Machine]])</f>
        <v>7</v>
      </c>
      <c r="N137" s="23">
        <v>1</v>
      </c>
      <c r="O137" s="27">
        <v>5</v>
      </c>
      <c r="P137" s="27">
        <v>1</v>
      </c>
      <c r="Q137" s="23">
        <v>1</v>
      </c>
      <c r="R137" s="27">
        <f>EDProj[[#This Row],[★ Judge]]+EDProj[[#This Row],[★ Alt Judge]]+EDProj[[#This Row],[★ Clerks]]</f>
        <v>7</v>
      </c>
      <c r="S137" s="28">
        <v>750</v>
      </c>
      <c r="T137" s="23">
        <f>EDProj[[#This Row],[★ Ballot Cards]]/250</f>
        <v>3</v>
      </c>
      <c r="U137" s="38">
        <f>EDProj[[#This Row],[★ Soft Case (ADA) Voting Machines]]+EDProj[[#This Row],[Old EPB Allocation]]</f>
        <v>5</v>
      </c>
      <c r="V137" s="38">
        <f>EDProj[[#This Row],[Tables Needed]]</f>
        <v>5</v>
      </c>
      <c r="W137" s="27">
        <v>0</v>
      </c>
      <c r="X137" s="27">
        <v>0</v>
      </c>
      <c r="Y137" s="23">
        <f>ROUNDUP(IF(EDProj[[#This Row],[Tables Needed]]-EDProj[[#This Row],[Tables Provided by the Vote Center]]&lt;0,0,EDProj[[#This Row],[Tables Needed]]-EDProj[[#This Row],[Tables Provided by the Vote Center]]),0)</f>
        <v>5</v>
      </c>
      <c r="Z137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138" spans="1:26" ht="13.9">
      <c r="A138" s="23" t="s">
        <v>294</v>
      </c>
      <c r="B138" s="24" t="s">
        <v>295</v>
      </c>
      <c r="C138" s="73" t="s">
        <v>509</v>
      </c>
      <c r="D138" s="25" t="s">
        <v>556</v>
      </c>
      <c r="E138" s="26" t="s">
        <v>557</v>
      </c>
      <c r="F138" s="92">
        <v>328</v>
      </c>
      <c r="G138" s="27">
        <v>4</v>
      </c>
      <c r="H138" s="27">
        <v>4</v>
      </c>
      <c r="I138" s="27">
        <v>5</v>
      </c>
      <c r="J138" s="27">
        <v>1</v>
      </c>
      <c r="K138" s="27">
        <v>0</v>
      </c>
      <c r="L138" s="27">
        <v>0</v>
      </c>
      <c r="M138" s="23">
        <f>SUM(EDProj[[#This Row],[★ Hard Case Voting Machines]:[★ Curbside (Rollie) Voting Machine]])</f>
        <v>6</v>
      </c>
      <c r="N138" s="23">
        <v>1</v>
      </c>
      <c r="O138" s="27">
        <v>5</v>
      </c>
      <c r="P138" s="27">
        <v>1</v>
      </c>
      <c r="Q138" s="23">
        <v>1</v>
      </c>
      <c r="R138" s="27">
        <f>EDProj[[#This Row],[★ Judge]]+EDProj[[#This Row],[★ Alt Judge]]+EDProj[[#This Row],[★ Clerks]]</f>
        <v>7</v>
      </c>
      <c r="S138" s="28">
        <v>750</v>
      </c>
      <c r="T138" s="23">
        <f>EDProj[[#This Row],[★ Ballot Cards]]/250</f>
        <v>3</v>
      </c>
      <c r="U138" s="38">
        <f>EDProj[[#This Row],[★ Soft Case (ADA) Voting Machines]]+EDProj[[#This Row],[Old EPB Allocation]]</f>
        <v>5</v>
      </c>
      <c r="V138" s="38">
        <f>EDProj[[#This Row],[Tables Needed]]</f>
        <v>5</v>
      </c>
      <c r="W138" s="27">
        <v>0</v>
      </c>
      <c r="X138" s="27">
        <v>0</v>
      </c>
      <c r="Y138" s="23">
        <f>ROUNDUP(IF(EDProj[[#This Row],[Tables Needed]]-EDProj[[#This Row],[Tables Provided by the Vote Center]]&lt;0,0,EDProj[[#This Row],[Tables Needed]]-EDProj[[#This Row],[Tables Provided by the Vote Center]]),0)</f>
        <v>5</v>
      </c>
      <c r="Z138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139" spans="1:26" ht="13.9">
      <c r="A139" s="23" t="s">
        <v>294</v>
      </c>
      <c r="B139" s="24" t="s">
        <v>295</v>
      </c>
      <c r="C139" s="73" t="s">
        <v>509</v>
      </c>
      <c r="D139" s="25" t="s">
        <v>558</v>
      </c>
      <c r="E139" s="26" t="s">
        <v>559</v>
      </c>
      <c r="F139" s="92">
        <v>216</v>
      </c>
      <c r="G139" s="27">
        <v>4</v>
      </c>
      <c r="H139" s="27">
        <v>4</v>
      </c>
      <c r="I139" s="27">
        <v>4</v>
      </c>
      <c r="J139" s="27">
        <v>1</v>
      </c>
      <c r="K139" s="27">
        <v>0</v>
      </c>
      <c r="L139" s="27">
        <v>0</v>
      </c>
      <c r="M139" s="23">
        <f>SUM(EDProj[[#This Row],[★ Hard Case Voting Machines]:[★ Curbside (Rollie) Voting Machine]])</f>
        <v>5</v>
      </c>
      <c r="N139" s="23">
        <v>1</v>
      </c>
      <c r="O139" s="27">
        <v>5</v>
      </c>
      <c r="P139" s="27">
        <v>1</v>
      </c>
      <c r="Q139" s="23">
        <v>1</v>
      </c>
      <c r="R139" s="27">
        <f>EDProj[[#This Row],[★ Judge]]+EDProj[[#This Row],[★ Alt Judge]]+EDProj[[#This Row],[★ Clerks]]</f>
        <v>7</v>
      </c>
      <c r="S139" s="28">
        <v>500</v>
      </c>
      <c r="T139" s="23">
        <f>EDProj[[#This Row],[★ Ballot Cards]]/250</f>
        <v>2</v>
      </c>
      <c r="U139" s="38">
        <f>EDProj[[#This Row],[★ Soft Case (ADA) Voting Machines]]+EDProj[[#This Row],[Old EPB Allocation]]</f>
        <v>5</v>
      </c>
      <c r="V139" s="38">
        <f>EDProj[[#This Row],[Tables Needed]]</f>
        <v>5</v>
      </c>
      <c r="W139" s="27">
        <v>3</v>
      </c>
      <c r="X139" s="27">
        <v>4</v>
      </c>
      <c r="Y139" s="23">
        <f>ROUNDUP(IF(EDProj[[#This Row],[Tables Needed]]-EDProj[[#This Row],[Tables Provided by the Vote Center]]&lt;0,0,EDProj[[#This Row],[Tables Needed]]-EDProj[[#This Row],[Tables Provided by the Vote Center]]),0)</f>
        <v>2</v>
      </c>
      <c r="Z139" s="23">
        <f>ROUNDUP(IF(EDProj[[#This Row],[Chairs Needed]]-EDProj[[#This Row],[Chairs Provided by the Vote Center]]&lt;0,0,EDProj[[#This Row],[Chairs Needed]]-EDProj[[#This Row],[Chairs Provided by the Vote Center]]),0)</f>
        <v>1</v>
      </c>
    </row>
    <row r="140" spans="1:26" ht="13.9">
      <c r="A140" s="23" t="s">
        <v>294</v>
      </c>
      <c r="B140" s="24" t="s">
        <v>295</v>
      </c>
      <c r="C140" s="73" t="s">
        <v>509</v>
      </c>
      <c r="D140" s="25" t="s">
        <v>560</v>
      </c>
      <c r="E140" s="26" t="s">
        <v>561</v>
      </c>
      <c r="F140" s="92">
        <v>290</v>
      </c>
      <c r="G140" s="27">
        <v>4</v>
      </c>
      <c r="H140" s="27">
        <v>4</v>
      </c>
      <c r="I140" s="27">
        <v>4</v>
      </c>
      <c r="J140" s="27">
        <v>1</v>
      </c>
      <c r="K140" s="27">
        <v>0</v>
      </c>
      <c r="L140" s="27">
        <v>0</v>
      </c>
      <c r="M140" s="23">
        <f>SUM(EDProj[[#This Row],[★ Hard Case Voting Machines]:[★ Curbside (Rollie) Voting Machine]])</f>
        <v>5</v>
      </c>
      <c r="N140" s="23">
        <v>1</v>
      </c>
      <c r="O140" s="27">
        <v>5</v>
      </c>
      <c r="P140" s="27">
        <v>1</v>
      </c>
      <c r="Q140" s="23">
        <v>1</v>
      </c>
      <c r="R140" s="27">
        <f>EDProj[[#This Row],[★ Judge]]+EDProj[[#This Row],[★ Alt Judge]]+EDProj[[#This Row],[★ Clerks]]</f>
        <v>7</v>
      </c>
      <c r="S140" s="28">
        <v>500</v>
      </c>
      <c r="T140" s="23">
        <f>EDProj[[#This Row],[★ Ballot Cards]]/250</f>
        <v>2</v>
      </c>
      <c r="U140" s="38">
        <f>EDProj[[#This Row],[★ Soft Case (ADA) Voting Machines]]+EDProj[[#This Row],[Old EPB Allocation]]</f>
        <v>5</v>
      </c>
      <c r="V140" s="38">
        <f>EDProj[[#This Row],[Tables Needed]]</f>
        <v>5</v>
      </c>
      <c r="W140" s="27">
        <v>2</v>
      </c>
      <c r="X140" s="27">
        <v>5</v>
      </c>
      <c r="Y140" s="23">
        <f>ROUNDUP(IF(EDProj[[#This Row],[Tables Needed]]-EDProj[[#This Row],[Tables Provided by the Vote Center]]&lt;0,0,EDProj[[#This Row],[Tables Needed]]-EDProj[[#This Row],[Tables Provided by the Vote Center]]),0)</f>
        <v>3</v>
      </c>
      <c r="Z140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141" spans="1:26" ht="13.9">
      <c r="A141" s="23" t="s">
        <v>294</v>
      </c>
      <c r="B141" s="24" t="s">
        <v>295</v>
      </c>
      <c r="C141" s="73" t="s">
        <v>509</v>
      </c>
      <c r="D141" s="25" t="s">
        <v>562</v>
      </c>
      <c r="E141" s="26" t="s">
        <v>563</v>
      </c>
      <c r="F141" s="92">
        <v>606</v>
      </c>
      <c r="G141" s="27">
        <v>4</v>
      </c>
      <c r="H141" s="27">
        <v>4</v>
      </c>
      <c r="I141" s="27">
        <v>9</v>
      </c>
      <c r="J141" s="27">
        <v>1</v>
      </c>
      <c r="K141" s="27">
        <v>0</v>
      </c>
      <c r="L141" s="27">
        <v>0</v>
      </c>
      <c r="M141" s="23">
        <f>SUM(EDProj[[#This Row],[★ Hard Case Voting Machines]:[★ Curbside (Rollie) Voting Machine]])</f>
        <v>10</v>
      </c>
      <c r="N141" s="23">
        <v>1</v>
      </c>
      <c r="O141" s="27">
        <v>6</v>
      </c>
      <c r="P141" s="27">
        <v>1</v>
      </c>
      <c r="Q141" s="23">
        <v>1</v>
      </c>
      <c r="R141" s="27">
        <f>EDProj[[#This Row],[★ Judge]]+EDProj[[#This Row],[★ Alt Judge]]+EDProj[[#This Row],[★ Clerks]]</f>
        <v>8</v>
      </c>
      <c r="S141" s="28">
        <v>1000</v>
      </c>
      <c r="T141" s="23">
        <f>EDProj[[#This Row],[★ Ballot Cards]]/250</f>
        <v>4</v>
      </c>
      <c r="U141" s="38">
        <f>EDProj[[#This Row],[★ Soft Case (ADA) Voting Machines]]+EDProj[[#This Row],[Old EPB Allocation]]</f>
        <v>5</v>
      </c>
      <c r="V141" s="38">
        <f>EDProj[[#This Row],[Tables Needed]]</f>
        <v>5</v>
      </c>
      <c r="W141" s="27">
        <v>20</v>
      </c>
      <c r="X141" s="27">
        <v>50</v>
      </c>
      <c r="Y141" s="23">
        <f>ROUNDUP(IF(EDProj[[#This Row],[Tables Needed]]-EDProj[[#This Row],[Tables Provided by the Vote Center]]&lt;0,0,EDProj[[#This Row],[Tables Needed]]-EDProj[[#This Row],[Tables Provided by the Vote Center]]),0)</f>
        <v>0</v>
      </c>
      <c r="Z141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142" spans="1:26" ht="13.9">
      <c r="A142" s="23" t="s">
        <v>294</v>
      </c>
      <c r="B142" s="24" t="s">
        <v>295</v>
      </c>
      <c r="C142" s="73" t="s">
        <v>509</v>
      </c>
      <c r="D142" s="25" t="s">
        <v>564</v>
      </c>
      <c r="E142" s="26" t="s">
        <v>565</v>
      </c>
      <c r="F142" s="92">
        <v>140</v>
      </c>
      <c r="G142" s="27">
        <v>4</v>
      </c>
      <c r="H142" s="27">
        <v>4</v>
      </c>
      <c r="I142" s="27">
        <v>2</v>
      </c>
      <c r="J142" s="27">
        <v>1</v>
      </c>
      <c r="K142" s="27">
        <v>0</v>
      </c>
      <c r="L142" s="27">
        <v>0</v>
      </c>
      <c r="M142" s="23">
        <f>SUM(EDProj[[#This Row],[★ Hard Case Voting Machines]:[★ Curbside (Rollie) Voting Machine]])</f>
        <v>3</v>
      </c>
      <c r="N142" s="23">
        <v>1</v>
      </c>
      <c r="O142" s="27">
        <v>4</v>
      </c>
      <c r="P142" s="27">
        <v>1</v>
      </c>
      <c r="Q142" s="23">
        <v>1</v>
      </c>
      <c r="R142" s="27">
        <f>EDProj[[#This Row],[★ Judge]]+EDProj[[#This Row],[★ Alt Judge]]+EDProj[[#This Row],[★ Clerks]]</f>
        <v>6</v>
      </c>
      <c r="S142" s="28">
        <v>500</v>
      </c>
      <c r="T142" s="23">
        <f>EDProj[[#This Row],[★ Ballot Cards]]/250</f>
        <v>2</v>
      </c>
      <c r="U142" s="38">
        <f>EDProj[[#This Row],[★ Soft Case (ADA) Voting Machines]]+EDProj[[#This Row],[Old EPB Allocation]]</f>
        <v>5</v>
      </c>
      <c r="V142" s="38">
        <f>EDProj[[#This Row],[Tables Needed]]</f>
        <v>5</v>
      </c>
      <c r="W142" s="27">
        <v>0</v>
      </c>
      <c r="X142" s="27">
        <v>0</v>
      </c>
      <c r="Y142" s="23">
        <f>ROUNDUP(IF(EDProj[[#This Row],[Tables Needed]]-EDProj[[#This Row],[Tables Provided by the Vote Center]]&lt;0,0,EDProj[[#This Row],[Tables Needed]]-EDProj[[#This Row],[Tables Provided by the Vote Center]]),0)</f>
        <v>5</v>
      </c>
      <c r="Z142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143" spans="1:26" ht="13.9">
      <c r="A143" s="23" t="s">
        <v>294</v>
      </c>
      <c r="B143" s="24" t="s">
        <v>295</v>
      </c>
      <c r="C143" s="73" t="s">
        <v>509</v>
      </c>
      <c r="D143" s="25" t="s">
        <v>566</v>
      </c>
      <c r="E143" s="26" t="s">
        <v>567</v>
      </c>
      <c r="F143" s="92">
        <v>136</v>
      </c>
      <c r="G143" s="27">
        <v>4</v>
      </c>
      <c r="H143" s="27">
        <v>4</v>
      </c>
      <c r="I143" s="27">
        <v>3</v>
      </c>
      <c r="J143" s="27">
        <v>1</v>
      </c>
      <c r="K143" s="27">
        <v>0</v>
      </c>
      <c r="L143" s="27">
        <v>0</v>
      </c>
      <c r="M143" s="23">
        <f>SUM(EDProj[[#This Row],[★ Hard Case Voting Machines]:[★ Curbside (Rollie) Voting Machine]])</f>
        <v>4</v>
      </c>
      <c r="N143" s="23">
        <v>1</v>
      </c>
      <c r="O143" s="27">
        <v>4</v>
      </c>
      <c r="P143" s="27">
        <v>1</v>
      </c>
      <c r="Q143" s="23">
        <v>1</v>
      </c>
      <c r="R143" s="27">
        <f>EDProj[[#This Row],[★ Judge]]+EDProj[[#This Row],[★ Alt Judge]]+EDProj[[#This Row],[★ Clerks]]</f>
        <v>6</v>
      </c>
      <c r="S143" s="28">
        <v>500</v>
      </c>
      <c r="T143" s="23">
        <f>EDProj[[#This Row],[★ Ballot Cards]]/250</f>
        <v>2</v>
      </c>
      <c r="U143" s="38">
        <f>EDProj[[#This Row],[★ Soft Case (ADA) Voting Machines]]+EDProj[[#This Row],[Old EPB Allocation]]</f>
        <v>5</v>
      </c>
      <c r="V143" s="38">
        <f>EDProj[[#This Row],[Tables Needed]]</f>
        <v>5</v>
      </c>
      <c r="W143" s="27">
        <v>4</v>
      </c>
      <c r="X143" s="27">
        <v>10</v>
      </c>
      <c r="Y143" s="23">
        <f>ROUNDUP(IF(EDProj[[#This Row],[Tables Needed]]-EDProj[[#This Row],[Tables Provided by the Vote Center]]&lt;0,0,EDProj[[#This Row],[Tables Needed]]-EDProj[[#This Row],[Tables Provided by the Vote Center]]),0)</f>
        <v>1</v>
      </c>
      <c r="Z143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144" spans="1:26" ht="13.9">
      <c r="A144" s="23" t="s">
        <v>294</v>
      </c>
      <c r="B144" s="24" t="s">
        <v>295</v>
      </c>
      <c r="C144" s="73" t="s">
        <v>509</v>
      </c>
      <c r="D144" s="25" t="s">
        <v>568</v>
      </c>
      <c r="E144" s="26" t="s">
        <v>569</v>
      </c>
      <c r="F144" s="92">
        <v>123</v>
      </c>
      <c r="G144" s="27">
        <v>4</v>
      </c>
      <c r="H144" s="27">
        <v>4</v>
      </c>
      <c r="I144" s="27">
        <v>2</v>
      </c>
      <c r="J144" s="27">
        <v>1</v>
      </c>
      <c r="K144" s="27">
        <v>0</v>
      </c>
      <c r="L144" s="27">
        <v>0</v>
      </c>
      <c r="M144" s="23">
        <f>SUM(EDProj[[#This Row],[★ Hard Case Voting Machines]:[★ Curbside (Rollie) Voting Machine]])</f>
        <v>3</v>
      </c>
      <c r="N144" s="23">
        <v>1</v>
      </c>
      <c r="O144" s="27">
        <v>4</v>
      </c>
      <c r="P144" s="27">
        <v>1</v>
      </c>
      <c r="Q144" s="23">
        <v>1</v>
      </c>
      <c r="R144" s="27">
        <f>EDProj[[#This Row],[★ Judge]]+EDProj[[#This Row],[★ Alt Judge]]+EDProj[[#This Row],[★ Clerks]]</f>
        <v>6</v>
      </c>
      <c r="S144" s="28">
        <v>500</v>
      </c>
      <c r="T144" s="23">
        <f>EDProj[[#This Row],[★ Ballot Cards]]/250</f>
        <v>2</v>
      </c>
      <c r="U144" s="38">
        <f>EDProj[[#This Row],[★ Soft Case (ADA) Voting Machines]]+EDProj[[#This Row],[Old EPB Allocation]]</f>
        <v>5</v>
      </c>
      <c r="V144" s="38">
        <f>EDProj[[#This Row],[Tables Needed]]</f>
        <v>5</v>
      </c>
      <c r="W144" s="27">
        <v>10</v>
      </c>
      <c r="X144" s="27">
        <v>100</v>
      </c>
      <c r="Y144" s="23">
        <f>ROUNDUP(IF(EDProj[[#This Row],[Tables Needed]]-EDProj[[#This Row],[Tables Provided by the Vote Center]]&lt;0,0,EDProj[[#This Row],[Tables Needed]]-EDProj[[#This Row],[Tables Provided by the Vote Center]]),0)</f>
        <v>0</v>
      </c>
      <c r="Z144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145" spans="1:26" ht="13.9">
      <c r="A145" s="23" t="s">
        <v>113</v>
      </c>
      <c r="B145" s="24" t="s">
        <v>217</v>
      </c>
      <c r="C145" s="73" t="s">
        <v>509</v>
      </c>
      <c r="D145" s="30" t="s">
        <v>216</v>
      </c>
      <c r="E145" s="31" t="s">
        <v>218</v>
      </c>
      <c r="F145" s="93">
        <v>2677</v>
      </c>
      <c r="G145" s="27">
        <v>6.333333333333333</v>
      </c>
      <c r="H145" s="27">
        <v>9</v>
      </c>
      <c r="I145" s="27">
        <v>23</v>
      </c>
      <c r="J145" s="27">
        <v>1</v>
      </c>
      <c r="K145" s="27">
        <v>2</v>
      </c>
      <c r="L145" s="27">
        <v>1</v>
      </c>
      <c r="M145" s="23">
        <f>SUM(EDProj[[#This Row],[★ Hard Case Voting Machines]:[★ Curbside (Rollie) Voting Machine]])</f>
        <v>27</v>
      </c>
      <c r="N145" s="23">
        <v>1</v>
      </c>
      <c r="O145" s="27">
        <v>15</v>
      </c>
      <c r="P145" s="27">
        <v>1</v>
      </c>
      <c r="Q145" s="23">
        <v>1</v>
      </c>
      <c r="R145" s="27">
        <f>EDProj[[#This Row],[★ Judge]]+EDProj[[#This Row],[★ Alt Judge]]+EDProj[[#This Row],[★ Clerks]]</f>
        <v>17</v>
      </c>
      <c r="S145" s="28">
        <v>3500</v>
      </c>
      <c r="T145" s="23">
        <f>EDProj[[#This Row],[★ Ballot Cards]]/250</f>
        <v>14</v>
      </c>
      <c r="U145" s="38">
        <f>EDProj[[#This Row],[★ Soft Case (ADA) Voting Machines]]+EDProj[[#This Row],[Old EPB Allocation]]</f>
        <v>7.333333333333333</v>
      </c>
      <c r="V145" s="38">
        <f>EDProj[[#This Row],[Tables Needed]]</f>
        <v>7.333333333333333</v>
      </c>
      <c r="W145" s="27">
        <v>8</v>
      </c>
      <c r="X145" s="27">
        <v>100</v>
      </c>
      <c r="Y145" s="23">
        <f>ROUNDUP(IF(EDProj[[#This Row],[Tables Needed]]-EDProj[[#This Row],[Tables Provided by the Vote Center]]&lt;0,0,EDProj[[#This Row],[Tables Needed]]-EDProj[[#This Row],[Tables Provided by the Vote Center]]),0)</f>
        <v>0</v>
      </c>
      <c r="Z145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146" spans="1:26" ht="13.9">
      <c r="A146" s="23" t="s">
        <v>294</v>
      </c>
      <c r="B146" s="24" t="s">
        <v>295</v>
      </c>
      <c r="C146" s="73" t="s">
        <v>509</v>
      </c>
      <c r="D146" s="25" t="s">
        <v>570</v>
      </c>
      <c r="E146" s="26" t="s">
        <v>571</v>
      </c>
      <c r="F146" s="92">
        <v>374</v>
      </c>
      <c r="G146" s="27">
        <v>4</v>
      </c>
      <c r="H146" s="27">
        <v>4</v>
      </c>
      <c r="I146" s="27">
        <v>5</v>
      </c>
      <c r="J146" s="27">
        <v>1</v>
      </c>
      <c r="K146" s="27">
        <v>0</v>
      </c>
      <c r="L146" s="27">
        <v>0</v>
      </c>
      <c r="M146" s="23">
        <f>SUM(EDProj[[#This Row],[★ Hard Case Voting Machines]:[★ Curbside (Rollie) Voting Machine]])</f>
        <v>6</v>
      </c>
      <c r="N146" s="23">
        <v>1</v>
      </c>
      <c r="O146" s="27">
        <v>6</v>
      </c>
      <c r="P146" s="27">
        <v>1</v>
      </c>
      <c r="Q146" s="23">
        <v>1</v>
      </c>
      <c r="R146" s="27">
        <f>EDProj[[#This Row],[★ Judge]]+EDProj[[#This Row],[★ Alt Judge]]+EDProj[[#This Row],[★ Clerks]]</f>
        <v>8</v>
      </c>
      <c r="S146" s="28">
        <v>750</v>
      </c>
      <c r="T146" s="23">
        <f>EDProj[[#This Row],[★ Ballot Cards]]/250</f>
        <v>3</v>
      </c>
      <c r="U146" s="38">
        <f>EDProj[[#This Row],[★ Soft Case (ADA) Voting Machines]]+EDProj[[#This Row],[Old EPB Allocation]]</f>
        <v>5</v>
      </c>
      <c r="V146" s="38">
        <f>EDProj[[#This Row],[Tables Needed]]</f>
        <v>5</v>
      </c>
      <c r="W146" s="27">
        <v>10</v>
      </c>
      <c r="X146" s="27">
        <v>10</v>
      </c>
      <c r="Y146" s="23">
        <f>ROUNDUP(IF(EDProj[[#This Row],[Tables Needed]]-EDProj[[#This Row],[Tables Provided by the Vote Center]]&lt;0,0,EDProj[[#This Row],[Tables Needed]]-EDProj[[#This Row],[Tables Provided by the Vote Center]]),0)</f>
        <v>0</v>
      </c>
      <c r="Z146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147" spans="1:26" ht="13.9">
      <c r="A147" s="23" t="s">
        <v>294</v>
      </c>
      <c r="B147" s="24" t="s">
        <v>295</v>
      </c>
      <c r="C147" s="73" t="s">
        <v>509</v>
      </c>
      <c r="D147" s="25" t="s">
        <v>572</v>
      </c>
      <c r="E147" s="26" t="s">
        <v>573</v>
      </c>
      <c r="F147" s="92">
        <v>403</v>
      </c>
      <c r="G147" s="27">
        <v>4</v>
      </c>
      <c r="H147" s="27">
        <v>4</v>
      </c>
      <c r="I147" s="27">
        <v>7</v>
      </c>
      <c r="J147" s="27">
        <v>1</v>
      </c>
      <c r="K147" s="27">
        <v>0</v>
      </c>
      <c r="L147" s="27">
        <v>0</v>
      </c>
      <c r="M147" s="23">
        <f>SUM(EDProj[[#This Row],[★ Hard Case Voting Machines]:[★ Curbside (Rollie) Voting Machine]])</f>
        <v>8</v>
      </c>
      <c r="N147" s="23">
        <v>1</v>
      </c>
      <c r="O147" s="27">
        <v>5</v>
      </c>
      <c r="P147" s="27">
        <v>1</v>
      </c>
      <c r="Q147" s="23">
        <v>1</v>
      </c>
      <c r="R147" s="27">
        <f>EDProj[[#This Row],[★ Judge]]+EDProj[[#This Row],[★ Alt Judge]]+EDProj[[#This Row],[★ Clerks]]</f>
        <v>7</v>
      </c>
      <c r="S147" s="28">
        <v>750</v>
      </c>
      <c r="T147" s="23">
        <f>EDProj[[#This Row],[★ Ballot Cards]]/250</f>
        <v>3</v>
      </c>
      <c r="U147" s="38">
        <f>EDProj[[#This Row],[★ Soft Case (ADA) Voting Machines]]+EDProj[[#This Row],[Old EPB Allocation]]</f>
        <v>5</v>
      </c>
      <c r="V147" s="38">
        <f>EDProj[[#This Row],[Tables Needed]]</f>
        <v>5</v>
      </c>
      <c r="W147" s="27">
        <v>0</v>
      </c>
      <c r="X147" s="27">
        <v>0</v>
      </c>
      <c r="Y147" s="23">
        <f>ROUNDUP(IF(EDProj[[#This Row],[Tables Needed]]-EDProj[[#This Row],[Tables Provided by the Vote Center]]&lt;0,0,EDProj[[#This Row],[Tables Needed]]-EDProj[[#This Row],[Tables Provided by the Vote Center]]),0)</f>
        <v>5</v>
      </c>
      <c r="Z147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148" spans="1:26" ht="13.9">
      <c r="A148" s="23" t="s">
        <v>294</v>
      </c>
      <c r="B148" s="24" t="s">
        <v>295</v>
      </c>
      <c r="C148" s="73" t="s">
        <v>509</v>
      </c>
      <c r="D148" s="25" t="s">
        <v>574</v>
      </c>
      <c r="E148" s="26" t="s">
        <v>575</v>
      </c>
      <c r="F148" s="92">
        <v>462</v>
      </c>
      <c r="G148" s="27">
        <v>4</v>
      </c>
      <c r="H148" s="27">
        <v>4</v>
      </c>
      <c r="I148" s="27">
        <v>8</v>
      </c>
      <c r="J148" s="27">
        <v>1</v>
      </c>
      <c r="K148" s="27">
        <v>0</v>
      </c>
      <c r="L148" s="27">
        <v>0</v>
      </c>
      <c r="M148" s="23">
        <f>SUM(EDProj[[#This Row],[★ Hard Case Voting Machines]:[★ Curbside (Rollie) Voting Machine]])</f>
        <v>9</v>
      </c>
      <c r="N148" s="23">
        <v>1</v>
      </c>
      <c r="O148" s="27">
        <v>6</v>
      </c>
      <c r="P148" s="27">
        <v>1</v>
      </c>
      <c r="Q148" s="23">
        <v>1</v>
      </c>
      <c r="R148" s="27">
        <f>EDProj[[#This Row],[★ Judge]]+EDProj[[#This Row],[★ Alt Judge]]+EDProj[[#This Row],[★ Clerks]]</f>
        <v>8</v>
      </c>
      <c r="S148" s="28">
        <v>750</v>
      </c>
      <c r="T148" s="23">
        <f>EDProj[[#This Row],[★ Ballot Cards]]/250</f>
        <v>3</v>
      </c>
      <c r="U148" s="38">
        <f>EDProj[[#This Row],[★ Soft Case (ADA) Voting Machines]]+EDProj[[#This Row],[Old EPB Allocation]]</f>
        <v>5</v>
      </c>
      <c r="V148" s="38">
        <f>EDProj[[#This Row],[Tables Needed]]</f>
        <v>5</v>
      </c>
      <c r="W148" s="27">
        <v>0</v>
      </c>
      <c r="X148" s="27">
        <v>0</v>
      </c>
      <c r="Y148" s="23">
        <f>ROUNDUP(IF(EDProj[[#This Row],[Tables Needed]]-EDProj[[#This Row],[Tables Provided by the Vote Center]]&lt;0,0,EDProj[[#This Row],[Tables Needed]]-EDProj[[#This Row],[Tables Provided by the Vote Center]]),0)</f>
        <v>5</v>
      </c>
      <c r="Z148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149" spans="1:26" ht="13.9">
      <c r="A149" s="23" t="s">
        <v>294</v>
      </c>
      <c r="B149" s="24" t="s">
        <v>295</v>
      </c>
      <c r="C149" s="73" t="s">
        <v>509</v>
      </c>
      <c r="D149" s="25" t="s">
        <v>576</v>
      </c>
      <c r="E149" s="26" t="s">
        <v>577</v>
      </c>
      <c r="F149" s="92">
        <v>445</v>
      </c>
      <c r="G149" s="27">
        <v>4</v>
      </c>
      <c r="H149" s="27">
        <v>4</v>
      </c>
      <c r="I149" s="27">
        <v>7</v>
      </c>
      <c r="J149" s="27">
        <v>1</v>
      </c>
      <c r="K149" s="27">
        <v>0</v>
      </c>
      <c r="L149" s="27">
        <v>0</v>
      </c>
      <c r="M149" s="23">
        <f>SUM(EDProj[[#This Row],[★ Hard Case Voting Machines]:[★ Curbside (Rollie) Voting Machine]])</f>
        <v>8</v>
      </c>
      <c r="N149" s="23">
        <v>1</v>
      </c>
      <c r="O149" s="27">
        <v>5</v>
      </c>
      <c r="P149" s="27">
        <v>1</v>
      </c>
      <c r="Q149" s="23">
        <v>1</v>
      </c>
      <c r="R149" s="27">
        <f>EDProj[[#This Row],[★ Judge]]+EDProj[[#This Row],[★ Alt Judge]]+EDProj[[#This Row],[★ Clerks]]</f>
        <v>7</v>
      </c>
      <c r="S149" s="28">
        <v>750</v>
      </c>
      <c r="T149" s="23">
        <f>EDProj[[#This Row],[★ Ballot Cards]]/250</f>
        <v>3</v>
      </c>
      <c r="U149" s="38">
        <f>EDProj[[#This Row],[★ Soft Case (ADA) Voting Machines]]+EDProj[[#This Row],[Old EPB Allocation]]</f>
        <v>5</v>
      </c>
      <c r="V149" s="38">
        <f>EDProj[[#This Row],[Tables Needed]]</f>
        <v>5</v>
      </c>
      <c r="W149" s="27">
        <v>0</v>
      </c>
      <c r="X149" s="27">
        <v>0</v>
      </c>
      <c r="Y149" s="23">
        <f>ROUNDUP(IF(EDProj[[#This Row],[Tables Needed]]-EDProj[[#This Row],[Tables Provided by the Vote Center]]&lt;0,0,EDProj[[#This Row],[Tables Needed]]-EDProj[[#This Row],[Tables Provided by the Vote Center]]),0)</f>
        <v>5</v>
      </c>
      <c r="Z149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150" spans="1:26" ht="13.9">
      <c r="A150" s="23" t="s">
        <v>294</v>
      </c>
      <c r="B150" s="24" t="s">
        <v>295</v>
      </c>
      <c r="C150" s="73" t="s">
        <v>509</v>
      </c>
      <c r="D150" s="25" t="s">
        <v>578</v>
      </c>
      <c r="E150" s="26" t="s">
        <v>579</v>
      </c>
      <c r="F150" s="92">
        <v>193</v>
      </c>
      <c r="G150" s="27">
        <v>4</v>
      </c>
      <c r="H150" s="27">
        <v>4</v>
      </c>
      <c r="I150" s="27">
        <v>3</v>
      </c>
      <c r="J150" s="27">
        <v>1</v>
      </c>
      <c r="K150" s="27">
        <v>0</v>
      </c>
      <c r="L150" s="27">
        <v>0</v>
      </c>
      <c r="M150" s="23">
        <f>SUM(EDProj[[#This Row],[★ Hard Case Voting Machines]:[★ Curbside (Rollie) Voting Machine]])</f>
        <v>4</v>
      </c>
      <c r="N150" s="23">
        <v>1</v>
      </c>
      <c r="O150" s="27">
        <v>4</v>
      </c>
      <c r="P150" s="27">
        <v>1</v>
      </c>
      <c r="Q150" s="23">
        <v>1</v>
      </c>
      <c r="R150" s="27">
        <f>EDProj[[#This Row],[★ Judge]]+EDProj[[#This Row],[★ Alt Judge]]+EDProj[[#This Row],[★ Clerks]]</f>
        <v>6</v>
      </c>
      <c r="S150" s="28">
        <v>500</v>
      </c>
      <c r="T150" s="23">
        <f>EDProj[[#This Row],[★ Ballot Cards]]/250</f>
        <v>2</v>
      </c>
      <c r="U150" s="38">
        <f>EDProj[[#This Row],[★ Soft Case (ADA) Voting Machines]]+EDProj[[#This Row],[Old EPB Allocation]]</f>
        <v>5</v>
      </c>
      <c r="V150" s="38">
        <f>EDProj[[#This Row],[Tables Needed]]</f>
        <v>5</v>
      </c>
      <c r="W150" s="27">
        <v>0</v>
      </c>
      <c r="X150" s="27">
        <v>0</v>
      </c>
      <c r="Y150" s="23">
        <f>ROUNDUP(IF(EDProj[[#This Row],[Tables Needed]]-EDProj[[#This Row],[Tables Provided by the Vote Center]]&lt;0,0,EDProj[[#This Row],[Tables Needed]]-EDProj[[#This Row],[Tables Provided by the Vote Center]]),0)</f>
        <v>5</v>
      </c>
      <c r="Z150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151" spans="1:26" ht="13.9">
      <c r="A151" s="23" t="s">
        <v>294</v>
      </c>
      <c r="B151" s="24" t="s">
        <v>295</v>
      </c>
      <c r="C151" s="73" t="s">
        <v>509</v>
      </c>
      <c r="D151" s="25" t="s">
        <v>580</v>
      </c>
      <c r="E151" s="26" t="s">
        <v>581</v>
      </c>
      <c r="F151" s="92">
        <v>392</v>
      </c>
      <c r="G151" s="27">
        <v>4</v>
      </c>
      <c r="H151" s="27">
        <v>4</v>
      </c>
      <c r="I151" s="27">
        <v>6</v>
      </c>
      <c r="J151" s="27">
        <v>1</v>
      </c>
      <c r="K151" s="27">
        <v>0</v>
      </c>
      <c r="L151" s="27">
        <v>0</v>
      </c>
      <c r="M151" s="23">
        <f>SUM(EDProj[[#This Row],[★ Hard Case Voting Machines]:[★ Curbside (Rollie) Voting Machine]])</f>
        <v>7</v>
      </c>
      <c r="N151" s="23">
        <v>1</v>
      </c>
      <c r="O151" s="27">
        <v>5</v>
      </c>
      <c r="P151" s="27">
        <v>1</v>
      </c>
      <c r="Q151" s="23">
        <v>1</v>
      </c>
      <c r="R151" s="27">
        <f>EDProj[[#This Row],[★ Judge]]+EDProj[[#This Row],[★ Alt Judge]]+EDProj[[#This Row],[★ Clerks]]</f>
        <v>7</v>
      </c>
      <c r="S151" s="28">
        <v>750</v>
      </c>
      <c r="T151" s="23">
        <f>EDProj[[#This Row],[★ Ballot Cards]]/250</f>
        <v>3</v>
      </c>
      <c r="U151" s="38">
        <f>EDProj[[#This Row],[★ Soft Case (ADA) Voting Machines]]+EDProj[[#This Row],[Old EPB Allocation]]</f>
        <v>5</v>
      </c>
      <c r="V151" s="38">
        <f>EDProj[[#This Row],[Tables Needed]]</f>
        <v>5</v>
      </c>
      <c r="W151" s="27">
        <v>4</v>
      </c>
      <c r="X151" s="27">
        <v>25</v>
      </c>
      <c r="Y151" s="23">
        <f>ROUNDUP(IF(EDProj[[#This Row],[Tables Needed]]-EDProj[[#This Row],[Tables Provided by the Vote Center]]&lt;0,0,EDProj[[#This Row],[Tables Needed]]-EDProj[[#This Row],[Tables Provided by the Vote Center]]),0)</f>
        <v>1</v>
      </c>
      <c r="Z151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152" spans="1:26" ht="13.9">
      <c r="A152" s="23" t="s">
        <v>294</v>
      </c>
      <c r="B152" s="24" t="s">
        <v>295</v>
      </c>
      <c r="C152" s="73" t="s">
        <v>509</v>
      </c>
      <c r="D152" s="25" t="s">
        <v>582</v>
      </c>
      <c r="E152" s="26" t="s">
        <v>583</v>
      </c>
      <c r="F152" s="92">
        <v>422</v>
      </c>
      <c r="G152" s="27">
        <v>4</v>
      </c>
      <c r="H152" s="27">
        <v>4</v>
      </c>
      <c r="I152" s="27">
        <v>6</v>
      </c>
      <c r="J152" s="27">
        <v>1</v>
      </c>
      <c r="K152" s="27">
        <v>0</v>
      </c>
      <c r="L152" s="27">
        <v>0</v>
      </c>
      <c r="M152" s="23">
        <f>SUM(EDProj[[#This Row],[★ Hard Case Voting Machines]:[★ Curbside (Rollie) Voting Machine]])</f>
        <v>7</v>
      </c>
      <c r="N152" s="23">
        <v>1</v>
      </c>
      <c r="O152" s="27">
        <v>6</v>
      </c>
      <c r="P152" s="27">
        <v>1</v>
      </c>
      <c r="Q152" s="23">
        <v>1</v>
      </c>
      <c r="R152" s="27">
        <f>EDProj[[#This Row],[★ Judge]]+EDProj[[#This Row],[★ Alt Judge]]+EDProj[[#This Row],[★ Clerks]]</f>
        <v>8</v>
      </c>
      <c r="S152" s="28">
        <v>750</v>
      </c>
      <c r="T152" s="23">
        <f>EDProj[[#This Row],[★ Ballot Cards]]/250</f>
        <v>3</v>
      </c>
      <c r="U152" s="38">
        <f>EDProj[[#This Row],[★ Soft Case (ADA) Voting Machines]]+EDProj[[#This Row],[Old EPB Allocation]]</f>
        <v>5</v>
      </c>
      <c r="V152" s="38">
        <f>EDProj[[#This Row],[Tables Needed]]</f>
        <v>5</v>
      </c>
      <c r="W152" s="27">
        <v>10</v>
      </c>
      <c r="X152" s="27">
        <v>10</v>
      </c>
      <c r="Y152" s="23">
        <f>ROUNDUP(IF(EDProj[[#This Row],[Tables Needed]]-EDProj[[#This Row],[Tables Provided by the Vote Center]]&lt;0,0,EDProj[[#This Row],[Tables Needed]]-EDProj[[#This Row],[Tables Provided by the Vote Center]]),0)</f>
        <v>0</v>
      </c>
      <c r="Z152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153" spans="1:26" ht="13.9">
      <c r="A153" s="34" t="s">
        <v>294</v>
      </c>
      <c r="B153" s="35" t="s">
        <v>295</v>
      </c>
      <c r="C153" s="74" t="s">
        <v>509</v>
      </c>
      <c r="D153" s="36" t="s">
        <v>23</v>
      </c>
      <c r="E153" s="37" t="s">
        <v>21</v>
      </c>
      <c r="F153" s="94">
        <v>1404</v>
      </c>
      <c r="G153" s="38">
        <v>4.1666666666666661</v>
      </c>
      <c r="H153" s="38">
        <v>4</v>
      </c>
      <c r="I153" s="38">
        <v>11</v>
      </c>
      <c r="J153" s="38">
        <v>1</v>
      </c>
      <c r="K153" s="38">
        <v>0</v>
      </c>
      <c r="L153" s="27">
        <v>1</v>
      </c>
      <c r="M153" s="34">
        <f>SUM(EDProj[[#This Row],[★ Hard Case Voting Machines]:[★ Curbside (Rollie) Voting Machine]])</f>
        <v>13</v>
      </c>
      <c r="N153" s="34">
        <v>1</v>
      </c>
      <c r="O153" s="38">
        <v>9</v>
      </c>
      <c r="P153" s="34">
        <v>1</v>
      </c>
      <c r="Q153" s="34">
        <v>1</v>
      </c>
      <c r="R153" s="38">
        <f>EDProj[[#This Row],[★ Judge]]+EDProj[[#This Row],[★ Alt Judge]]+EDProj[[#This Row],[★ Clerks]]</f>
        <v>11</v>
      </c>
      <c r="S153" s="39">
        <v>2250</v>
      </c>
      <c r="T153" s="34">
        <f>EDProj[[#This Row],[★ Ballot Cards]]/250</f>
        <v>9</v>
      </c>
      <c r="U153" s="38">
        <f>EDProj[[#This Row],[★ Soft Case (ADA) Voting Machines]]+EDProj[[#This Row],[Old EPB Allocation]]</f>
        <v>5.1666666666666661</v>
      </c>
      <c r="V153" s="38">
        <f>EDProj[[#This Row],[Tables Needed]]</f>
        <v>5.1666666666666661</v>
      </c>
      <c r="W153" s="38">
        <v>10</v>
      </c>
      <c r="X153" s="38">
        <v>105</v>
      </c>
      <c r="Y153" s="34">
        <f>ROUNDUP(IF(EDProj[[#This Row],[Tables Needed]]-EDProj[[#This Row],[Tables Provided by the Vote Center]]&lt;0,0,EDProj[[#This Row],[Tables Needed]]-EDProj[[#This Row],[Tables Provided by the Vote Center]]),0)</f>
        <v>0</v>
      </c>
      <c r="Z153" s="34">
        <f>ROUNDUP(IF(EDProj[[#This Row],[Chairs Needed]]-EDProj[[#This Row],[Chairs Provided by the Vote Center]]&lt;0,0,EDProj[[#This Row],[Chairs Needed]]-EDProj[[#This Row],[Chairs Provided by the Vote Center]]),0)</f>
        <v>0</v>
      </c>
    </row>
    <row r="154" spans="1:26" ht="13.9">
      <c r="A154" s="23" t="s">
        <v>294</v>
      </c>
      <c r="B154" s="24" t="s">
        <v>295</v>
      </c>
      <c r="C154" s="73" t="s">
        <v>509</v>
      </c>
      <c r="D154" s="25" t="s">
        <v>584</v>
      </c>
      <c r="E154" s="26" t="s">
        <v>585</v>
      </c>
      <c r="F154" s="92">
        <v>113</v>
      </c>
      <c r="G154" s="27">
        <v>4</v>
      </c>
      <c r="H154" s="27">
        <v>4</v>
      </c>
      <c r="I154" s="27">
        <v>2</v>
      </c>
      <c r="J154" s="27">
        <v>1</v>
      </c>
      <c r="K154" s="27">
        <v>0</v>
      </c>
      <c r="L154" s="27">
        <v>0</v>
      </c>
      <c r="M154" s="23">
        <f>SUM(EDProj[[#This Row],[★ Hard Case Voting Machines]:[★ Curbside (Rollie) Voting Machine]])</f>
        <v>3</v>
      </c>
      <c r="N154" s="23">
        <v>1</v>
      </c>
      <c r="O154" s="27">
        <v>4</v>
      </c>
      <c r="P154" s="27">
        <v>1</v>
      </c>
      <c r="Q154" s="23">
        <v>1</v>
      </c>
      <c r="R154" s="27">
        <f>EDProj[[#This Row],[★ Judge]]+EDProj[[#This Row],[★ Alt Judge]]+EDProj[[#This Row],[★ Clerks]]</f>
        <v>6</v>
      </c>
      <c r="S154" s="28">
        <v>500</v>
      </c>
      <c r="T154" s="23">
        <f>EDProj[[#This Row],[★ Ballot Cards]]/250</f>
        <v>2</v>
      </c>
      <c r="U154" s="38">
        <f>EDProj[[#This Row],[★ Soft Case (ADA) Voting Machines]]+EDProj[[#This Row],[Old EPB Allocation]]</f>
        <v>5</v>
      </c>
      <c r="V154" s="38">
        <f>EDProj[[#This Row],[Tables Needed]]</f>
        <v>5</v>
      </c>
      <c r="W154" s="27">
        <v>0</v>
      </c>
      <c r="X154" s="27">
        <v>0</v>
      </c>
      <c r="Y154" s="23">
        <f>ROUNDUP(IF(EDProj[[#This Row],[Tables Needed]]-EDProj[[#This Row],[Tables Provided by the Vote Center]]&lt;0,0,EDProj[[#This Row],[Tables Needed]]-EDProj[[#This Row],[Tables Provided by the Vote Center]]),0)</f>
        <v>5</v>
      </c>
      <c r="Z154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155" spans="1:26" ht="13.9">
      <c r="A155" s="23" t="s">
        <v>294</v>
      </c>
      <c r="B155" s="24" t="s">
        <v>295</v>
      </c>
      <c r="C155" s="73" t="s">
        <v>509</v>
      </c>
      <c r="D155" s="25" t="s">
        <v>586</v>
      </c>
      <c r="E155" s="26" t="s">
        <v>587</v>
      </c>
      <c r="F155" s="92">
        <v>149</v>
      </c>
      <c r="G155" s="27">
        <v>4</v>
      </c>
      <c r="H155" s="27">
        <v>4</v>
      </c>
      <c r="I155" s="27">
        <v>2</v>
      </c>
      <c r="J155" s="27">
        <v>1</v>
      </c>
      <c r="K155" s="27">
        <v>0</v>
      </c>
      <c r="L155" s="27">
        <v>0</v>
      </c>
      <c r="M155" s="23">
        <f>SUM(EDProj[[#This Row],[★ Hard Case Voting Machines]:[★ Curbside (Rollie) Voting Machine]])</f>
        <v>3</v>
      </c>
      <c r="N155" s="23">
        <v>1</v>
      </c>
      <c r="O155" s="27">
        <v>4</v>
      </c>
      <c r="P155" s="27">
        <v>1</v>
      </c>
      <c r="Q155" s="23">
        <v>1</v>
      </c>
      <c r="R155" s="27">
        <f>EDProj[[#This Row],[★ Judge]]+EDProj[[#This Row],[★ Alt Judge]]+EDProj[[#This Row],[★ Clerks]]</f>
        <v>6</v>
      </c>
      <c r="S155" s="28">
        <v>500</v>
      </c>
      <c r="T155" s="23">
        <f>EDProj[[#This Row],[★ Ballot Cards]]/250</f>
        <v>2</v>
      </c>
      <c r="U155" s="38">
        <f>EDProj[[#This Row],[★ Soft Case (ADA) Voting Machines]]+EDProj[[#This Row],[Old EPB Allocation]]</f>
        <v>5</v>
      </c>
      <c r="V155" s="38">
        <f>EDProj[[#This Row],[Tables Needed]]</f>
        <v>5</v>
      </c>
      <c r="W155" s="27">
        <v>0</v>
      </c>
      <c r="X155" s="27">
        <v>0</v>
      </c>
      <c r="Y155" s="23">
        <f>ROUNDUP(IF(EDProj[[#This Row],[Tables Needed]]-EDProj[[#This Row],[Tables Provided by the Vote Center]]&lt;0,0,EDProj[[#This Row],[Tables Needed]]-EDProj[[#This Row],[Tables Provided by the Vote Center]]),0)</f>
        <v>5</v>
      </c>
      <c r="Z155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156" spans="1:26" ht="13.9">
      <c r="A156" s="23" t="s">
        <v>113</v>
      </c>
      <c r="B156" s="24" t="s">
        <v>124</v>
      </c>
      <c r="C156" s="73" t="s">
        <v>509</v>
      </c>
      <c r="D156" s="25" t="s">
        <v>123</v>
      </c>
      <c r="E156" s="26" t="s">
        <v>125</v>
      </c>
      <c r="F156" s="92">
        <v>673</v>
      </c>
      <c r="G156" s="27">
        <v>4</v>
      </c>
      <c r="H156" s="27">
        <v>4</v>
      </c>
      <c r="I156" s="27">
        <v>8</v>
      </c>
      <c r="J156" s="27">
        <v>1</v>
      </c>
      <c r="K156" s="27">
        <v>1</v>
      </c>
      <c r="L156" s="27">
        <v>1</v>
      </c>
      <c r="M156" s="23">
        <f>SUM(EDProj[[#This Row],[★ Hard Case Voting Machines]:[★ Curbside (Rollie) Voting Machine]])</f>
        <v>11</v>
      </c>
      <c r="N156" s="23">
        <v>1</v>
      </c>
      <c r="O156" s="27">
        <v>8</v>
      </c>
      <c r="P156" s="27">
        <v>1</v>
      </c>
      <c r="Q156" s="23">
        <v>1</v>
      </c>
      <c r="R156" s="27">
        <f>EDProj[[#This Row],[★ Judge]]+EDProj[[#This Row],[★ Alt Judge]]+EDProj[[#This Row],[★ Clerks]]</f>
        <v>10</v>
      </c>
      <c r="S156" s="28">
        <v>1000</v>
      </c>
      <c r="T156" s="23">
        <f>EDProj[[#This Row],[★ Ballot Cards]]/250</f>
        <v>4</v>
      </c>
      <c r="U156" s="38">
        <f>EDProj[[#This Row],[★ Soft Case (ADA) Voting Machines]]+EDProj[[#This Row],[Old EPB Allocation]]</f>
        <v>5</v>
      </c>
      <c r="V156" s="38">
        <f>EDProj[[#This Row],[Tables Needed]]</f>
        <v>5</v>
      </c>
      <c r="W156" s="27">
        <v>0</v>
      </c>
      <c r="X156" s="27">
        <v>0</v>
      </c>
      <c r="Y156" s="23">
        <f>ROUNDUP(IF(EDProj[[#This Row],[Tables Needed]]-EDProj[[#This Row],[Tables Provided by the Vote Center]]&lt;0,0,EDProj[[#This Row],[Tables Needed]]-EDProj[[#This Row],[Tables Provided by the Vote Center]]),0)</f>
        <v>5</v>
      </c>
      <c r="Z156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157" spans="1:26" ht="13.9">
      <c r="A157" s="23" t="s">
        <v>113</v>
      </c>
      <c r="B157" s="24" t="s">
        <v>299</v>
      </c>
      <c r="C157" s="73" t="s">
        <v>509</v>
      </c>
      <c r="D157" s="25" t="s">
        <v>298</v>
      </c>
      <c r="E157" s="26" t="s">
        <v>300</v>
      </c>
      <c r="F157" s="92">
        <v>2283</v>
      </c>
      <c r="G157" s="27">
        <v>5</v>
      </c>
      <c r="H157" s="27">
        <v>5</v>
      </c>
      <c r="I157" s="27">
        <v>17</v>
      </c>
      <c r="J157" s="27">
        <v>1</v>
      </c>
      <c r="K157" s="27">
        <v>1</v>
      </c>
      <c r="L157" s="27">
        <v>1</v>
      </c>
      <c r="M157" s="23">
        <f>SUM(EDProj[[#This Row],[★ Hard Case Voting Machines]:[★ Curbside (Rollie) Voting Machine]])</f>
        <v>20</v>
      </c>
      <c r="N157" s="23">
        <v>1</v>
      </c>
      <c r="O157" s="27">
        <v>10</v>
      </c>
      <c r="P157" s="27">
        <v>1</v>
      </c>
      <c r="Q157" s="23">
        <v>1</v>
      </c>
      <c r="R157" s="27">
        <f>EDProj[[#This Row],[★ Judge]]+EDProj[[#This Row],[★ Alt Judge]]+EDProj[[#This Row],[★ Clerks]]</f>
        <v>12</v>
      </c>
      <c r="S157" s="28">
        <v>2250</v>
      </c>
      <c r="T157" s="23">
        <f>EDProj[[#This Row],[★ Ballot Cards]]/250</f>
        <v>9</v>
      </c>
      <c r="U157" s="38">
        <f>EDProj[[#This Row],[★ Soft Case (ADA) Voting Machines]]+EDProj[[#This Row],[Old EPB Allocation]]</f>
        <v>6</v>
      </c>
      <c r="V157" s="38">
        <f>EDProj[[#This Row],[Tables Needed]]</f>
        <v>6</v>
      </c>
      <c r="W157" s="27">
        <v>10</v>
      </c>
      <c r="X157" s="27">
        <v>75</v>
      </c>
      <c r="Y157" s="23">
        <f>ROUNDUP(IF(EDProj[[#This Row],[Tables Needed]]-EDProj[[#This Row],[Tables Provided by the Vote Center]]&lt;0,0,EDProj[[#This Row],[Tables Needed]]-EDProj[[#This Row],[Tables Provided by the Vote Center]]),0)</f>
        <v>0</v>
      </c>
      <c r="Z157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158" spans="1:26" ht="13.9">
      <c r="A158" s="23" t="s">
        <v>113</v>
      </c>
      <c r="B158" s="24" t="s">
        <v>286</v>
      </c>
      <c r="C158" s="73" t="s">
        <v>509</v>
      </c>
      <c r="D158" s="25" t="s">
        <v>285</v>
      </c>
      <c r="E158" s="26" t="s">
        <v>287</v>
      </c>
      <c r="F158" s="92">
        <v>1279</v>
      </c>
      <c r="G158" s="27">
        <v>4</v>
      </c>
      <c r="H158" s="27">
        <v>4</v>
      </c>
      <c r="I158" s="27">
        <v>10</v>
      </c>
      <c r="J158" s="27">
        <v>1</v>
      </c>
      <c r="K158" s="27">
        <v>1</v>
      </c>
      <c r="L158" s="27">
        <v>1</v>
      </c>
      <c r="M158" s="23">
        <f>SUM(EDProj[[#This Row],[★ Hard Case Voting Machines]:[★ Curbside (Rollie) Voting Machine]])</f>
        <v>13</v>
      </c>
      <c r="N158" s="23">
        <v>1</v>
      </c>
      <c r="O158" s="27">
        <v>7</v>
      </c>
      <c r="P158" s="27">
        <v>1</v>
      </c>
      <c r="Q158" s="23">
        <v>1</v>
      </c>
      <c r="R158" s="27">
        <f>EDProj[[#This Row],[★ Judge]]+EDProj[[#This Row],[★ Alt Judge]]+EDProj[[#This Row],[★ Clerks]]</f>
        <v>9</v>
      </c>
      <c r="S158" s="28">
        <v>1500</v>
      </c>
      <c r="T158" s="23">
        <f>EDProj[[#This Row],[★ Ballot Cards]]/250</f>
        <v>6</v>
      </c>
      <c r="U158" s="38">
        <f>EDProj[[#This Row],[★ Soft Case (ADA) Voting Machines]]+EDProj[[#This Row],[Old EPB Allocation]]</f>
        <v>5</v>
      </c>
      <c r="V158" s="38">
        <f>EDProj[[#This Row],[Tables Needed]]</f>
        <v>5</v>
      </c>
      <c r="W158" s="27">
        <v>0</v>
      </c>
      <c r="X158" s="27">
        <v>0</v>
      </c>
      <c r="Y158" s="23">
        <f>ROUNDUP(IF(EDProj[[#This Row],[Tables Needed]]-EDProj[[#This Row],[Tables Provided by the Vote Center]]&lt;0,0,EDProj[[#This Row],[Tables Needed]]-EDProj[[#This Row],[Tables Provided by the Vote Center]]),0)</f>
        <v>5</v>
      </c>
      <c r="Z158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159" spans="1:26" ht="13.9">
      <c r="A159" s="23" t="s">
        <v>294</v>
      </c>
      <c r="B159" s="24" t="s">
        <v>295</v>
      </c>
      <c r="C159" s="73" t="s">
        <v>588</v>
      </c>
      <c r="D159" s="25" t="s">
        <v>589</v>
      </c>
      <c r="E159" s="26" t="s">
        <v>590</v>
      </c>
      <c r="F159" s="92">
        <v>309</v>
      </c>
      <c r="G159" s="27">
        <v>4</v>
      </c>
      <c r="H159" s="27">
        <v>4</v>
      </c>
      <c r="I159" s="27">
        <v>4</v>
      </c>
      <c r="J159" s="27">
        <v>1</v>
      </c>
      <c r="K159" s="27">
        <v>0</v>
      </c>
      <c r="L159" s="27">
        <v>0</v>
      </c>
      <c r="M159" s="23">
        <f>SUM(EDProj[[#This Row],[★ Hard Case Voting Machines]:[★ Curbside (Rollie) Voting Machine]])</f>
        <v>5</v>
      </c>
      <c r="N159" s="23">
        <v>1</v>
      </c>
      <c r="O159" s="27">
        <v>5</v>
      </c>
      <c r="P159" s="23">
        <v>1</v>
      </c>
      <c r="Q159" s="23">
        <v>1</v>
      </c>
      <c r="R159" s="27">
        <f>EDProj[[#This Row],[★ Judge]]+EDProj[[#This Row],[★ Alt Judge]]+EDProj[[#This Row],[★ Clerks]]</f>
        <v>7</v>
      </c>
      <c r="S159" s="28">
        <v>500</v>
      </c>
      <c r="T159" s="23">
        <f>EDProj[[#This Row],[★ Ballot Cards]]/250</f>
        <v>2</v>
      </c>
      <c r="U159" s="38">
        <f>EDProj[[#This Row],[★ Soft Case (ADA) Voting Machines]]+EDProj[[#This Row],[Old EPB Allocation]]</f>
        <v>5</v>
      </c>
      <c r="V159" s="38">
        <f>EDProj[[#This Row],[Tables Needed]]</f>
        <v>5</v>
      </c>
      <c r="W159" s="27">
        <v>20</v>
      </c>
      <c r="X159" s="27">
        <v>20</v>
      </c>
      <c r="Y159" s="23">
        <f>ROUNDUP(IF(EDProj[[#This Row],[Tables Needed]]-EDProj[[#This Row],[Tables Provided by the Vote Center]]&lt;0,0,EDProj[[#This Row],[Tables Needed]]-EDProj[[#This Row],[Tables Provided by the Vote Center]]),0)</f>
        <v>0</v>
      </c>
      <c r="Z159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160" spans="1:26" ht="13.9">
      <c r="A160" s="23" t="s">
        <v>294</v>
      </c>
      <c r="B160" s="24" t="s">
        <v>295</v>
      </c>
      <c r="C160" s="73" t="s">
        <v>588</v>
      </c>
      <c r="D160" s="30" t="s">
        <v>591</v>
      </c>
      <c r="E160" s="31" t="s">
        <v>592</v>
      </c>
      <c r="F160" s="93">
        <v>85</v>
      </c>
      <c r="G160" s="27">
        <v>4</v>
      </c>
      <c r="H160" s="27">
        <v>4</v>
      </c>
      <c r="I160" s="27">
        <v>2</v>
      </c>
      <c r="J160" s="27">
        <v>1</v>
      </c>
      <c r="K160" s="27">
        <v>0</v>
      </c>
      <c r="L160" s="27">
        <v>0</v>
      </c>
      <c r="M160" s="23">
        <f>SUM(EDProj[[#This Row],[★ Hard Case Voting Machines]:[★ Curbside (Rollie) Voting Machine]])</f>
        <v>3</v>
      </c>
      <c r="N160" s="23">
        <v>1</v>
      </c>
      <c r="O160" s="27">
        <v>4</v>
      </c>
      <c r="P160" s="27">
        <v>1</v>
      </c>
      <c r="Q160" s="23">
        <v>1</v>
      </c>
      <c r="R160" s="27">
        <f>EDProj[[#This Row],[★ Judge]]+EDProj[[#This Row],[★ Alt Judge]]+EDProj[[#This Row],[★ Clerks]]</f>
        <v>6</v>
      </c>
      <c r="S160" s="28">
        <v>500</v>
      </c>
      <c r="T160" s="23">
        <f>EDProj[[#This Row],[★ Ballot Cards]]/250</f>
        <v>2</v>
      </c>
      <c r="U160" s="38">
        <f>EDProj[[#This Row],[★ Soft Case (ADA) Voting Machines]]+EDProj[[#This Row],[Old EPB Allocation]]</f>
        <v>5</v>
      </c>
      <c r="V160" s="38">
        <f>EDProj[[#This Row],[Tables Needed]]</f>
        <v>5</v>
      </c>
      <c r="W160" s="27">
        <v>0</v>
      </c>
      <c r="X160" s="27">
        <v>0</v>
      </c>
      <c r="Y160" s="23">
        <f>ROUNDUP(IF(EDProj[[#This Row],[Tables Needed]]-EDProj[[#This Row],[Tables Provided by the Vote Center]]&lt;0,0,EDProj[[#This Row],[Tables Needed]]-EDProj[[#This Row],[Tables Provided by the Vote Center]]),0)</f>
        <v>5</v>
      </c>
      <c r="Z160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161" spans="1:26" ht="13.9">
      <c r="A161" s="23" t="s">
        <v>294</v>
      </c>
      <c r="B161" s="24" t="s">
        <v>295</v>
      </c>
      <c r="C161" s="73" t="s">
        <v>588</v>
      </c>
      <c r="D161" s="25" t="s">
        <v>593</v>
      </c>
      <c r="E161" s="26" t="s">
        <v>594</v>
      </c>
      <c r="F161" s="92">
        <v>226</v>
      </c>
      <c r="G161" s="27">
        <v>4</v>
      </c>
      <c r="H161" s="27">
        <v>4</v>
      </c>
      <c r="I161" s="27">
        <v>3</v>
      </c>
      <c r="J161" s="27">
        <v>1</v>
      </c>
      <c r="K161" s="27">
        <v>0</v>
      </c>
      <c r="L161" s="27">
        <v>0</v>
      </c>
      <c r="M161" s="23">
        <f>SUM(EDProj[[#This Row],[★ Hard Case Voting Machines]:[★ Curbside (Rollie) Voting Machine]])</f>
        <v>4</v>
      </c>
      <c r="N161" s="23">
        <v>1</v>
      </c>
      <c r="O161" s="27">
        <v>4</v>
      </c>
      <c r="P161" s="23">
        <v>1</v>
      </c>
      <c r="Q161" s="23">
        <v>1</v>
      </c>
      <c r="R161" s="27">
        <f>EDProj[[#This Row],[★ Judge]]+EDProj[[#This Row],[★ Alt Judge]]+EDProj[[#This Row],[★ Clerks]]</f>
        <v>6</v>
      </c>
      <c r="S161" s="28">
        <v>500</v>
      </c>
      <c r="T161" s="23">
        <f>EDProj[[#This Row],[★ Ballot Cards]]/250</f>
        <v>2</v>
      </c>
      <c r="U161" s="38">
        <f>EDProj[[#This Row],[★ Soft Case (ADA) Voting Machines]]+EDProj[[#This Row],[Old EPB Allocation]]</f>
        <v>5</v>
      </c>
      <c r="V161" s="38">
        <f>EDProj[[#This Row],[Tables Needed]]</f>
        <v>5</v>
      </c>
      <c r="W161" s="27">
        <v>0</v>
      </c>
      <c r="X161" s="27">
        <v>0</v>
      </c>
      <c r="Y161" s="23">
        <f>ROUNDUP(IF(EDProj[[#This Row],[Tables Needed]]-EDProj[[#This Row],[Tables Provided by the Vote Center]]&lt;0,0,EDProj[[#This Row],[Tables Needed]]-EDProj[[#This Row],[Tables Provided by the Vote Center]]),0)</f>
        <v>5</v>
      </c>
      <c r="Z161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162" spans="1:26" ht="13.9">
      <c r="A162" s="23" t="s">
        <v>113</v>
      </c>
      <c r="B162" s="24" t="s">
        <v>12</v>
      </c>
      <c r="C162" s="73" t="s">
        <v>588</v>
      </c>
      <c r="D162" s="30" t="s">
        <v>16</v>
      </c>
      <c r="E162" s="31" t="s">
        <v>13</v>
      </c>
      <c r="F162" s="93">
        <v>1762</v>
      </c>
      <c r="G162" s="27">
        <v>7</v>
      </c>
      <c r="H162" s="27">
        <v>10</v>
      </c>
      <c r="I162" s="27">
        <v>23</v>
      </c>
      <c r="J162" s="27">
        <v>1</v>
      </c>
      <c r="K162" s="27">
        <v>2</v>
      </c>
      <c r="L162" s="27">
        <v>1</v>
      </c>
      <c r="M162" s="23">
        <f>SUM(EDProj[[#This Row],[★ Hard Case Voting Machines]:[★ Curbside (Rollie) Voting Machine]])</f>
        <v>27</v>
      </c>
      <c r="N162" s="23">
        <v>1</v>
      </c>
      <c r="O162" s="27">
        <v>15</v>
      </c>
      <c r="P162" s="23">
        <v>1</v>
      </c>
      <c r="Q162" s="23">
        <v>1</v>
      </c>
      <c r="R162" s="27">
        <f>EDProj[[#This Row],[★ Judge]]+EDProj[[#This Row],[★ Alt Judge]]+EDProj[[#This Row],[★ Clerks]]</f>
        <v>17</v>
      </c>
      <c r="S162" s="28">
        <v>3000</v>
      </c>
      <c r="T162" s="23">
        <f>EDProj[[#This Row],[★ Ballot Cards]]/250</f>
        <v>12</v>
      </c>
      <c r="U162" s="38">
        <f>EDProj[[#This Row],[★ Soft Case (ADA) Voting Machines]]+EDProj[[#This Row],[Old EPB Allocation]]</f>
        <v>8</v>
      </c>
      <c r="V162" s="38">
        <f>EDProj[[#This Row],[Tables Needed]]</f>
        <v>8</v>
      </c>
      <c r="W162" s="27">
        <v>15</v>
      </c>
      <c r="X162" s="27">
        <v>100</v>
      </c>
      <c r="Y162" s="23">
        <f>ROUNDUP(IF(EDProj[[#This Row],[Tables Needed]]-EDProj[[#This Row],[Tables Provided by the Vote Center]]&lt;0,0,EDProj[[#This Row],[Tables Needed]]-EDProj[[#This Row],[Tables Provided by the Vote Center]]),0)</f>
        <v>0</v>
      </c>
      <c r="Z162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163" spans="1:26" ht="13.9">
      <c r="A163" s="23" t="s">
        <v>294</v>
      </c>
      <c r="B163" s="24" t="s">
        <v>295</v>
      </c>
      <c r="C163" s="73" t="s">
        <v>588</v>
      </c>
      <c r="D163" s="25" t="s">
        <v>595</v>
      </c>
      <c r="E163" s="26" t="s">
        <v>596</v>
      </c>
      <c r="F163" s="92">
        <v>236</v>
      </c>
      <c r="G163" s="27">
        <v>4</v>
      </c>
      <c r="H163" s="27">
        <v>4</v>
      </c>
      <c r="I163" s="27">
        <v>3</v>
      </c>
      <c r="J163" s="27">
        <v>1</v>
      </c>
      <c r="K163" s="27">
        <v>0</v>
      </c>
      <c r="L163" s="27">
        <v>0</v>
      </c>
      <c r="M163" s="23">
        <f>SUM(EDProj[[#This Row],[★ Hard Case Voting Machines]:[★ Curbside (Rollie) Voting Machine]])</f>
        <v>4</v>
      </c>
      <c r="N163" s="23">
        <v>1</v>
      </c>
      <c r="O163" s="27">
        <v>4</v>
      </c>
      <c r="P163" s="27">
        <v>1</v>
      </c>
      <c r="Q163" s="23">
        <v>1</v>
      </c>
      <c r="R163" s="27">
        <f>EDProj[[#This Row],[★ Judge]]+EDProj[[#This Row],[★ Alt Judge]]+EDProj[[#This Row],[★ Clerks]]</f>
        <v>6</v>
      </c>
      <c r="S163" s="28">
        <v>500</v>
      </c>
      <c r="T163" s="23">
        <f>EDProj[[#This Row],[★ Ballot Cards]]/250</f>
        <v>2</v>
      </c>
      <c r="U163" s="38">
        <f>EDProj[[#This Row],[★ Soft Case (ADA) Voting Machines]]+EDProj[[#This Row],[Old EPB Allocation]]</f>
        <v>5</v>
      </c>
      <c r="V163" s="38">
        <f>EDProj[[#This Row],[Tables Needed]]</f>
        <v>5</v>
      </c>
      <c r="W163" s="27">
        <v>0</v>
      </c>
      <c r="X163" s="27">
        <v>0</v>
      </c>
      <c r="Y163" s="23">
        <f>ROUNDUP(IF(EDProj[[#This Row],[Tables Needed]]-EDProj[[#This Row],[Tables Provided by the Vote Center]]&lt;0,0,EDProj[[#This Row],[Tables Needed]]-EDProj[[#This Row],[Tables Provided by the Vote Center]]),0)</f>
        <v>5</v>
      </c>
      <c r="Z163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164" spans="1:26" ht="13.9">
      <c r="A164" s="23" t="s">
        <v>294</v>
      </c>
      <c r="B164" s="24" t="s">
        <v>295</v>
      </c>
      <c r="C164" s="73" t="s">
        <v>588</v>
      </c>
      <c r="D164" s="25" t="s">
        <v>597</v>
      </c>
      <c r="E164" s="26" t="s">
        <v>598</v>
      </c>
      <c r="F164" s="92">
        <v>285</v>
      </c>
      <c r="G164" s="27">
        <v>4</v>
      </c>
      <c r="H164" s="27">
        <v>4</v>
      </c>
      <c r="I164" s="27">
        <v>4</v>
      </c>
      <c r="J164" s="27">
        <v>1</v>
      </c>
      <c r="K164" s="27">
        <v>0</v>
      </c>
      <c r="L164" s="27">
        <v>0</v>
      </c>
      <c r="M164" s="23">
        <f>SUM(EDProj[[#This Row],[★ Hard Case Voting Machines]:[★ Curbside (Rollie) Voting Machine]])</f>
        <v>5</v>
      </c>
      <c r="N164" s="23">
        <v>1</v>
      </c>
      <c r="O164" s="27">
        <v>5</v>
      </c>
      <c r="P164" s="27">
        <v>1</v>
      </c>
      <c r="Q164" s="23">
        <v>1</v>
      </c>
      <c r="R164" s="27">
        <f>EDProj[[#This Row],[★ Judge]]+EDProj[[#This Row],[★ Alt Judge]]+EDProj[[#This Row],[★ Clerks]]</f>
        <v>7</v>
      </c>
      <c r="S164" s="28">
        <v>500</v>
      </c>
      <c r="T164" s="23">
        <f>EDProj[[#This Row],[★ Ballot Cards]]/250</f>
        <v>2</v>
      </c>
      <c r="U164" s="38">
        <f>EDProj[[#This Row],[★ Soft Case (ADA) Voting Machines]]+EDProj[[#This Row],[Old EPB Allocation]]</f>
        <v>5</v>
      </c>
      <c r="V164" s="38">
        <f>EDProj[[#This Row],[Tables Needed]]</f>
        <v>5</v>
      </c>
      <c r="W164" s="27">
        <v>12</v>
      </c>
      <c r="X164" s="27">
        <v>20</v>
      </c>
      <c r="Y164" s="23">
        <f>ROUNDUP(IF(EDProj[[#This Row],[Tables Needed]]-EDProj[[#This Row],[Tables Provided by the Vote Center]]&lt;0,0,EDProj[[#This Row],[Tables Needed]]-EDProj[[#This Row],[Tables Provided by the Vote Center]]),0)</f>
        <v>0</v>
      </c>
      <c r="Z164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165" spans="1:26" ht="13.9">
      <c r="A165" s="23" t="s">
        <v>113</v>
      </c>
      <c r="B165" s="24" t="s">
        <v>190</v>
      </c>
      <c r="C165" s="73" t="s">
        <v>588</v>
      </c>
      <c r="D165" s="25" t="s">
        <v>189</v>
      </c>
      <c r="E165" s="26" t="s">
        <v>191</v>
      </c>
      <c r="F165" s="92">
        <v>1268</v>
      </c>
      <c r="G165" s="27">
        <v>5</v>
      </c>
      <c r="H165" s="27">
        <v>5</v>
      </c>
      <c r="I165" s="27">
        <v>17</v>
      </c>
      <c r="J165" s="27">
        <v>1</v>
      </c>
      <c r="K165" s="27">
        <v>1</v>
      </c>
      <c r="L165" s="27">
        <v>1</v>
      </c>
      <c r="M165" s="23">
        <f>SUM(EDProj[[#This Row],[★ Hard Case Voting Machines]:[★ Curbside (Rollie) Voting Machine]])</f>
        <v>20</v>
      </c>
      <c r="N165" s="23">
        <v>1</v>
      </c>
      <c r="O165" s="27">
        <v>9</v>
      </c>
      <c r="P165" s="27">
        <v>1</v>
      </c>
      <c r="Q165" s="23">
        <v>1</v>
      </c>
      <c r="R165" s="27">
        <f>EDProj[[#This Row],[★ Judge]]+EDProj[[#This Row],[★ Alt Judge]]+EDProj[[#This Row],[★ Clerks]]</f>
        <v>11</v>
      </c>
      <c r="S165" s="28">
        <v>1750</v>
      </c>
      <c r="T165" s="23">
        <f>EDProj[[#This Row],[★ Ballot Cards]]/250</f>
        <v>7</v>
      </c>
      <c r="U165" s="38">
        <f>EDProj[[#This Row],[★ Soft Case (ADA) Voting Machines]]+EDProj[[#This Row],[Old EPB Allocation]]</f>
        <v>6</v>
      </c>
      <c r="V165" s="38">
        <f>EDProj[[#This Row],[Tables Needed]]</f>
        <v>6</v>
      </c>
      <c r="W165" s="27">
        <v>0</v>
      </c>
      <c r="X165" s="27">
        <v>0</v>
      </c>
      <c r="Y165" s="23">
        <f>ROUNDUP(IF(EDProj[[#This Row],[Tables Needed]]-EDProj[[#This Row],[Tables Provided by the Vote Center]]&lt;0,0,EDProj[[#This Row],[Tables Needed]]-EDProj[[#This Row],[Tables Provided by the Vote Center]]),0)</f>
        <v>6</v>
      </c>
      <c r="Z165" s="23">
        <f>ROUNDUP(IF(EDProj[[#This Row],[Chairs Needed]]-EDProj[[#This Row],[Chairs Provided by the Vote Center]]&lt;0,0,EDProj[[#This Row],[Chairs Needed]]-EDProj[[#This Row],[Chairs Provided by the Vote Center]]),0)</f>
        <v>6</v>
      </c>
    </row>
    <row r="166" spans="1:26" ht="13.9">
      <c r="A166" s="23" t="s">
        <v>294</v>
      </c>
      <c r="B166" s="24" t="s">
        <v>295</v>
      </c>
      <c r="C166" s="73" t="s">
        <v>588</v>
      </c>
      <c r="D166" s="25" t="s">
        <v>599</v>
      </c>
      <c r="E166" s="26" t="s">
        <v>600</v>
      </c>
      <c r="F166" s="92">
        <v>266</v>
      </c>
      <c r="G166" s="27">
        <v>4</v>
      </c>
      <c r="H166" s="27">
        <v>4</v>
      </c>
      <c r="I166" s="27">
        <v>4</v>
      </c>
      <c r="J166" s="27">
        <v>1</v>
      </c>
      <c r="K166" s="27">
        <v>0</v>
      </c>
      <c r="L166" s="27">
        <v>0</v>
      </c>
      <c r="M166" s="23">
        <f>SUM(EDProj[[#This Row],[★ Hard Case Voting Machines]:[★ Curbside (Rollie) Voting Machine]])</f>
        <v>5</v>
      </c>
      <c r="N166" s="23">
        <v>1</v>
      </c>
      <c r="O166" s="27">
        <v>5</v>
      </c>
      <c r="P166" s="27">
        <v>1</v>
      </c>
      <c r="Q166" s="23">
        <v>1</v>
      </c>
      <c r="R166" s="27">
        <f>EDProj[[#This Row],[★ Judge]]+EDProj[[#This Row],[★ Alt Judge]]+EDProj[[#This Row],[★ Clerks]]</f>
        <v>7</v>
      </c>
      <c r="S166" s="28">
        <v>500</v>
      </c>
      <c r="T166" s="23">
        <f>EDProj[[#This Row],[★ Ballot Cards]]/250</f>
        <v>2</v>
      </c>
      <c r="U166" s="38">
        <f>EDProj[[#This Row],[★ Soft Case (ADA) Voting Machines]]+EDProj[[#This Row],[Old EPB Allocation]]</f>
        <v>5</v>
      </c>
      <c r="V166" s="38">
        <f>EDProj[[#This Row],[Tables Needed]]</f>
        <v>5</v>
      </c>
      <c r="W166" s="27">
        <v>0</v>
      </c>
      <c r="X166" s="27">
        <v>0</v>
      </c>
      <c r="Y166" s="23">
        <f>ROUNDUP(IF(EDProj[[#This Row],[Tables Needed]]-EDProj[[#This Row],[Tables Provided by the Vote Center]]&lt;0,0,EDProj[[#This Row],[Tables Needed]]-EDProj[[#This Row],[Tables Provided by the Vote Center]]),0)</f>
        <v>5</v>
      </c>
      <c r="Z166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167" spans="1:26" ht="13.9">
      <c r="A167" s="23" t="s">
        <v>294</v>
      </c>
      <c r="B167" s="24" t="s">
        <v>295</v>
      </c>
      <c r="C167" s="73" t="s">
        <v>588</v>
      </c>
      <c r="D167" s="25" t="s">
        <v>601</v>
      </c>
      <c r="E167" s="26" t="s">
        <v>602</v>
      </c>
      <c r="F167" s="92">
        <v>342</v>
      </c>
      <c r="G167" s="27">
        <v>4</v>
      </c>
      <c r="H167" s="27">
        <v>4</v>
      </c>
      <c r="I167" s="27">
        <v>5</v>
      </c>
      <c r="J167" s="27">
        <v>1</v>
      </c>
      <c r="K167" s="27">
        <v>0</v>
      </c>
      <c r="L167" s="27">
        <v>0</v>
      </c>
      <c r="M167" s="23">
        <f>SUM(EDProj[[#This Row],[★ Hard Case Voting Machines]:[★ Curbside (Rollie) Voting Machine]])</f>
        <v>6</v>
      </c>
      <c r="N167" s="23">
        <v>1</v>
      </c>
      <c r="O167" s="27">
        <v>5</v>
      </c>
      <c r="P167" s="27">
        <v>1</v>
      </c>
      <c r="Q167" s="23">
        <v>1</v>
      </c>
      <c r="R167" s="27">
        <f>EDProj[[#This Row],[★ Judge]]+EDProj[[#This Row],[★ Alt Judge]]+EDProj[[#This Row],[★ Clerks]]</f>
        <v>7</v>
      </c>
      <c r="S167" s="28">
        <v>750</v>
      </c>
      <c r="T167" s="23">
        <f>EDProj[[#This Row],[★ Ballot Cards]]/250</f>
        <v>3</v>
      </c>
      <c r="U167" s="38">
        <f>EDProj[[#This Row],[★ Soft Case (ADA) Voting Machines]]+EDProj[[#This Row],[Old EPB Allocation]]</f>
        <v>5</v>
      </c>
      <c r="V167" s="38">
        <f>EDProj[[#This Row],[Tables Needed]]</f>
        <v>5</v>
      </c>
      <c r="W167" s="27">
        <v>0</v>
      </c>
      <c r="X167" s="27">
        <v>0</v>
      </c>
      <c r="Y167" s="23">
        <f>ROUNDUP(IF(EDProj[[#This Row],[Tables Needed]]-EDProj[[#This Row],[Tables Provided by the Vote Center]]&lt;0,0,EDProj[[#This Row],[Tables Needed]]-EDProj[[#This Row],[Tables Provided by the Vote Center]]),0)</f>
        <v>5</v>
      </c>
      <c r="Z167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168" spans="1:26" ht="13.9">
      <c r="A168" s="23" t="s">
        <v>294</v>
      </c>
      <c r="B168" s="24" t="s">
        <v>295</v>
      </c>
      <c r="C168" s="73" t="s">
        <v>588</v>
      </c>
      <c r="D168" s="25" t="s">
        <v>603</v>
      </c>
      <c r="E168" s="26" t="s">
        <v>604</v>
      </c>
      <c r="F168" s="92">
        <v>227</v>
      </c>
      <c r="G168" s="27">
        <v>4</v>
      </c>
      <c r="H168" s="27">
        <v>4</v>
      </c>
      <c r="I168" s="27">
        <v>3</v>
      </c>
      <c r="J168" s="27">
        <v>1</v>
      </c>
      <c r="K168" s="27">
        <v>0</v>
      </c>
      <c r="L168" s="27">
        <v>0</v>
      </c>
      <c r="M168" s="23">
        <f>SUM(EDProj[[#This Row],[★ Hard Case Voting Machines]:[★ Curbside (Rollie) Voting Machine]])</f>
        <v>4</v>
      </c>
      <c r="N168" s="23">
        <v>1</v>
      </c>
      <c r="O168" s="27">
        <v>4</v>
      </c>
      <c r="P168" s="27">
        <v>1</v>
      </c>
      <c r="Q168" s="23">
        <v>1</v>
      </c>
      <c r="R168" s="27">
        <f>EDProj[[#This Row],[★ Judge]]+EDProj[[#This Row],[★ Alt Judge]]+EDProj[[#This Row],[★ Clerks]]</f>
        <v>6</v>
      </c>
      <c r="S168" s="28">
        <v>500</v>
      </c>
      <c r="T168" s="23">
        <f>EDProj[[#This Row],[★ Ballot Cards]]/250</f>
        <v>2</v>
      </c>
      <c r="U168" s="38">
        <f>EDProj[[#This Row],[★ Soft Case (ADA) Voting Machines]]+EDProj[[#This Row],[Old EPB Allocation]]</f>
        <v>5</v>
      </c>
      <c r="V168" s="38">
        <f>EDProj[[#This Row],[Tables Needed]]</f>
        <v>5</v>
      </c>
      <c r="W168" s="27">
        <v>5</v>
      </c>
      <c r="X168" s="27">
        <v>10</v>
      </c>
      <c r="Y168" s="23">
        <f>ROUNDUP(IF(EDProj[[#This Row],[Tables Needed]]-EDProj[[#This Row],[Tables Provided by the Vote Center]]&lt;0,0,EDProj[[#This Row],[Tables Needed]]-EDProj[[#This Row],[Tables Provided by the Vote Center]]),0)</f>
        <v>0</v>
      </c>
      <c r="Z168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169" spans="1:26" ht="13.9">
      <c r="A169" s="23" t="s">
        <v>294</v>
      </c>
      <c r="B169" s="24" t="s">
        <v>295</v>
      </c>
      <c r="C169" s="73" t="s">
        <v>588</v>
      </c>
      <c r="D169" s="25" t="s">
        <v>605</v>
      </c>
      <c r="E169" s="26" t="s">
        <v>606</v>
      </c>
      <c r="F169" s="92">
        <v>217</v>
      </c>
      <c r="G169" s="27">
        <v>4</v>
      </c>
      <c r="H169" s="27">
        <v>4</v>
      </c>
      <c r="I169" s="27">
        <v>3</v>
      </c>
      <c r="J169" s="27">
        <v>1</v>
      </c>
      <c r="K169" s="27">
        <v>0</v>
      </c>
      <c r="L169" s="27">
        <v>0</v>
      </c>
      <c r="M169" s="23">
        <f>SUM(EDProj[[#This Row],[★ Hard Case Voting Machines]:[★ Curbside (Rollie) Voting Machine]])</f>
        <v>4</v>
      </c>
      <c r="N169" s="23">
        <v>1</v>
      </c>
      <c r="O169" s="27">
        <v>4</v>
      </c>
      <c r="P169" s="27">
        <v>1</v>
      </c>
      <c r="Q169" s="23">
        <v>1</v>
      </c>
      <c r="R169" s="27">
        <f>EDProj[[#This Row],[★ Judge]]+EDProj[[#This Row],[★ Alt Judge]]+EDProj[[#This Row],[★ Clerks]]</f>
        <v>6</v>
      </c>
      <c r="S169" s="28">
        <v>500</v>
      </c>
      <c r="T169" s="23">
        <f>EDProj[[#This Row],[★ Ballot Cards]]/250</f>
        <v>2</v>
      </c>
      <c r="U169" s="38">
        <f>EDProj[[#This Row],[★ Soft Case (ADA) Voting Machines]]+EDProj[[#This Row],[Old EPB Allocation]]</f>
        <v>5</v>
      </c>
      <c r="V169" s="38">
        <f>EDProj[[#This Row],[Tables Needed]]</f>
        <v>5</v>
      </c>
      <c r="W169" s="27">
        <v>20</v>
      </c>
      <c r="X169" s="27">
        <v>20</v>
      </c>
      <c r="Y169" s="23">
        <f>ROUNDUP(IF(EDProj[[#This Row],[Tables Needed]]-EDProj[[#This Row],[Tables Provided by the Vote Center]]&lt;0,0,EDProj[[#This Row],[Tables Needed]]-EDProj[[#This Row],[Tables Provided by the Vote Center]]),0)</f>
        <v>0</v>
      </c>
      <c r="Z169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170" spans="1:26" ht="13.9">
      <c r="A170" s="23" t="s">
        <v>113</v>
      </c>
      <c r="B170" s="24" t="s">
        <v>163</v>
      </c>
      <c r="C170" s="73" t="s">
        <v>588</v>
      </c>
      <c r="D170" s="30" t="s">
        <v>162</v>
      </c>
      <c r="E170" s="31" t="s">
        <v>164</v>
      </c>
      <c r="F170" s="93">
        <v>1018</v>
      </c>
      <c r="G170" s="27">
        <v>4</v>
      </c>
      <c r="H170" s="27">
        <v>5</v>
      </c>
      <c r="I170" s="27">
        <v>11</v>
      </c>
      <c r="J170" s="27">
        <v>1</v>
      </c>
      <c r="K170" s="27">
        <v>1</v>
      </c>
      <c r="L170" s="27">
        <v>1</v>
      </c>
      <c r="M170" s="23">
        <f>SUM(EDProj[[#This Row],[★ Hard Case Voting Machines]:[★ Curbside (Rollie) Voting Machine]])</f>
        <v>14</v>
      </c>
      <c r="N170" s="23">
        <v>1</v>
      </c>
      <c r="O170" s="27">
        <v>7</v>
      </c>
      <c r="P170" s="27">
        <v>1</v>
      </c>
      <c r="Q170" s="23">
        <v>1</v>
      </c>
      <c r="R170" s="27">
        <f>EDProj[[#This Row],[★ Judge]]+EDProj[[#This Row],[★ Alt Judge]]+EDProj[[#This Row],[★ Clerks]]</f>
        <v>9</v>
      </c>
      <c r="S170" s="28">
        <v>1250</v>
      </c>
      <c r="T170" s="23">
        <f>EDProj[[#This Row],[★ Ballot Cards]]/250</f>
        <v>5</v>
      </c>
      <c r="U170" s="38">
        <f>EDProj[[#This Row],[★ Soft Case (ADA) Voting Machines]]+EDProj[[#This Row],[Old EPB Allocation]]</f>
        <v>5</v>
      </c>
      <c r="V170" s="38">
        <f>EDProj[[#This Row],[Tables Needed]]</f>
        <v>5</v>
      </c>
      <c r="W170" s="27">
        <v>0</v>
      </c>
      <c r="X170" s="27">
        <v>35</v>
      </c>
      <c r="Y170" s="23">
        <f>ROUNDUP(IF(EDProj[[#This Row],[Tables Needed]]-EDProj[[#This Row],[Tables Provided by the Vote Center]]&lt;0,0,EDProj[[#This Row],[Tables Needed]]-EDProj[[#This Row],[Tables Provided by the Vote Center]]),0)</f>
        <v>5</v>
      </c>
      <c r="Z170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171" spans="1:26" ht="13.9">
      <c r="A171" s="23" t="s">
        <v>294</v>
      </c>
      <c r="B171" s="24" t="s">
        <v>295</v>
      </c>
      <c r="C171" s="73" t="s">
        <v>588</v>
      </c>
      <c r="D171" s="25" t="s">
        <v>607</v>
      </c>
      <c r="E171" s="26" t="s">
        <v>608</v>
      </c>
      <c r="F171" s="92">
        <v>255</v>
      </c>
      <c r="G171" s="27">
        <v>4</v>
      </c>
      <c r="H171" s="27">
        <v>4</v>
      </c>
      <c r="I171" s="27">
        <v>3</v>
      </c>
      <c r="J171" s="27">
        <v>1</v>
      </c>
      <c r="K171" s="27">
        <v>0</v>
      </c>
      <c r="L171" s="27">
        <v>0</v>
      </c>
      <c r="M171" s="23">
        <f>SUM(EDProj[[#This Row],[★ Hard Case Voting Machines]:[★ Curbside (Rollie) Voting Machine]])</f>
        <v>4</v>
      </c>
      <c r="N171" s="23">
        <v>1</v>
      </c>
      <c r="O171" s="27">
        <v>4</v>
      </c>
      <c r="P171" s="27">
        <v>1</v>
      </c>
      <c r="Q171" s="23">
        <v>1</v>
      </c>
      <c r="R171" s="27">
        <f>EDProj[[#This Row],[★ Judge]]+EDProj[[#This Row],[★ Alt Judge]]+EDProj[[#This Row],[★ Clerks]]</f>
        <v>6</v>
      </c>
      <c r="S171" s="28">
        <v>500</v>
      </c>
      <c r="T171" s="23">
        <f>EDProj[[#This Row],[★ Ballot Cards]]/250</f>
        <v>2</v>
      </c>
      <c r="U171" s="38">
        <f>EDProj[[#This Row],[★ Soft Case (ADA) Voting Machines]]+EDProj[[#This Row],[Old EPB Allocation]]</f>
        <v>5</v>
      </c>
      <c r="V171" s="38">
        <f>EDProj[[#This Row],[Tables Needed]]</f>
        <v>5</v>
      </c>
      <c r="W171" s="27">
        <v>0</v>
      </c>
      <c r="X171" s="27">
        <v>10</v>
      </c>
      <c r="Y171" s="23">
        <f>ROUNDUP(IF(EDProj[[#This Row],[Tables Needed]]-EDProj[[#This Row],[Tables Provided by the Vote Center]]&lt;0,0,EDProj[[#This Row],[Tables Needed]]-EDProj[[#This Row],[Tables Provided by the Vote Center]]),0)</f>
        <v>5</v>
      </c>
      <c r="Z171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172" spans="1:26" ht="13.9">
      <c r="A172" s="23" t="s">
        <v>113</v>
      </c>
      <c r="B172" s="24" t="s">
        <v>151</v>
      </c>
      <c r="C172" s="73" t="s">
        <v>588</v>
      </c>
      <c r="D172" s="30" t="s">
        <v>150</v>
      </c>
      <c r="E172" s="31" t="s">
        <v>152</v>
      </c>
      <c r="F172" s="93">
        <v>962</v>
      </c>
      <c r="G172" s="27">
        <v>4.1666666666666661</v>
      </c>
      <c r="H172" s="27">
        <v>4</v>
      </c>
      <c r="I172" s="27">
        <v>10</v>
      </c>
      <c r="J172" s="27">
        <v>1</v>
      </c>
      <c r="K172" s="27">
        <v>1</v>
      </c>
      <c r="L172" s="27">
        <v>1</v>
      </c>
      <c r="M172" s="23">
        <f>SUM(EDProj[[#This Row],[★ Hard Case Voting Machines]:[★ Curbside (Rollie) Voting Machine]])</f>
        <v>13</v>
      </c>
      <c r="N172" s="23">
        <v>1</v>
      </c>
      <c r="O172" s="27">
        <v>6</v>
      </c>
      <c r="P172" s="27">
        <v>1</v>
      </c>
      <c r="Q172" s="23">
        <v>1</v>
      </c>
      <c r="R172" s="27">
        <f>EDProj[[#This Row],[★ Judge]]+EDProj[[#This Row],[★ Alt Judge]]+EDProj[[#This Row],[★ Clerks]]</f>
        <v>8</v>
      </c>
      <c r="S172" s="28">
        <v>1000</v>
      </c>
      <c r="T172" s="23">
        <f>EDProj[[#This Row],[★ Ballot Cards]]/250</f>
        <v>4</v>
      </c>
      <c r="U172" s="38">
        <f>EDProj[[#This Row],[★ Soft Case (ADA) Voting Machines]]+EDProj[[#This Row],[Old EPB Allocation]]</f>
        <v>5.1666666666666661</v>
      </c>
      <c r="V172" s="38">
        <f>EDProj[[#This Row],[Tables Needed]]</f>
        <v>5.1666666666666661</v>
      </c>
      <c r="W172" s="27">
        <v>0</v>
      </c>
      <c r="X172" s="27">
        <v>20</v>
      </c>
      <c r="Y172" s="23">
        <f>ROUNDUP(IF(EDProj[[#This Row],[Tables Needed]]-EDProj[[#This Row],[Tables Provided by the Vote Center]]&lt;0,0,EDProj[[#This Row],[Tables Needed]]-EDProj[[#This Row],[Tables Provided by the Vote Center]]),0)</f>
        <v>6</v>
      </c>
      <c r="Z172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173" spans="1:26" ht="13.9">
      <c r="A173" s="23" t="s">
        <v>294</v>
      </c>
      <c r="B173" s="24" t="s">
        <v>295</v>
      </c>
      <c r="C173" s="73" t="s">
        <v>588</v>
      </c>
      <c r="D173" s="25" t="s">
        <v>609</v>
      </c>
      <c r="E173" s="26" t="s">
        <v>610</v>
      </c>
      <c r="F173" s="92">
        <v>212</v>
      </c>
      <c r="G173" s="27">
        <v>4</v>
      </c>
      <c r="H173" s="27">
        <v>4</v>
      </c>
      <c r="I173" s="27">
        <v>3</v>
      </c>
      <c r="J173" s="27">
        <v>1</v>
      </c>
      <c r="K173" s="27">
        <v>0</v>
      </c>
      <c r="L173" s="27">
        <v>0</v>
      </c>
      <c r="M173" s="23">
        <f>SUM(EDProj[[#This Row],[★ Hard Case Voting Machines]:[★ Curbside (Rollie) Voting Machine]])</f>
        <v>4</v>
      </c>
      <c r="N173" s="23">
        <v>1</v>
      </c>
      <c r="O173" s="27">
        <v>4</v>
      </c>
      <c r="P173" s="27">
        <v>1</v>
      </c>
      <c r="Q173" s="23">
        <v>1</v>
      </c>
      <c r="R173" s="27">
        <f>EDProj[[#This Row],[★ Judge]]+EDProj[[#This Row],[★ Alt Judge]]+EDProj[[#This Row],[★ Clerks]]</f>
        <v>6</v>
      </c>
      <c r="S173" s="28">
        <v>500</v>
      </c>
      <c r="T173" s="23">
        <f>EDProj[[#This Row],[★ Ballot Cards]]/250</f>
        <v>2</v>
      </c>
      <c r="U173" s="38">
        <f>EDProj[[#This Row],[★ Soft Case (ADA) Voting Machines]]+EDProj[[#This Row],[Old EPB Allocation]]</f>
        <v>5</v>
      </c>
      <c r="V173" s="38">
        <f>EDProj[[#This Row],[Tables Needed]]</f>
        <v>5</v>
      </c>
      <c r="W173" s="27">
        <v>10</v>
      </c>
      <c r="X173" s="27">
        <v>20</v>
      </c>
      <c r="Y173" s="23">
        <f>ROUNDUP(IF(EDProj[[#This Row],[Tables Needed]]-EDProj[[#This Row],[Tables Provided by the Vote Center]]&lt;0,0,EDProj[[#This Row],[Tables Needed]]-EDProj[[#This Row],[Tables Provided by the Vote Center]]),0)</f>
        <v>0</v>
      </c>
      <c r="Z173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174" spans="1:26" ht="13.9">
      <c r="A174" s="23" t="s">
        <v>294</v>
      </c>
      <c r="B174" s="24" t="s">
        <v>295</v>
      </c>
      <c r="C174" s="73" t="s">
        <v>588</v>
      </c>
      <c r="D174" s="25" t="s">
        <v>611</v>
      </c>
      <c r="E174" s="26" t="s">
        <v>612</v>
      </c>
      <c r="F174" s="92">
        <v>168</v>
      </c>
      <c r="G174" s="27">
        <v>4</v>
      </c>
      <c r="H174" s="27">
        <v>4</v>
      </c>
      <c r="I174" s="27">
        <v>2</v>
      </c>
      <c r="J174" s="27">
        <v>1</v>
      </c>
      <c r="K174" s="27">
        <v>0</v>
      </c>
      <c r="L174" s="27">
        <v>0</v>
      </c>
      <c r="M174" s="23">
        <f>SUM(EDProj[[#This Row],[★ Hard Case Voting Machines]:[★ Curbside (Rollie) Voting Machine]])</f>
        <v>3</v>
      </c>
      <c r="N174" s="23">
        <v>1</v>
      </c>
      <c r="O174" s="27">
        <v>4</v>
      </c>
      <c r="P174" s="27">
        <v>1</v>
      </c>
      <c r="Q174" s="23">
        <v>1</v>
      </c>
      <c r="R174" s="27">
        <f>EDProj[[#This Row],[★ Judge]]+EDProj[[#This Row],[★ Alt Judge]]+EDProj[[#This Row],[★ Clerks]]</f>
        <v>6</v>
      </c>
      <c r="S174" s="28">
        <v>500</v>
      </c>
      <c r="T174" s="23">
        <f>EDProj[[#This Row],[★ Ballot Cards]]/250</f>
        <v>2</v>
      </c>
      <c r="U174" s="38">
        <f>EDProj[[#This Row],[★ Soft Case (ADA) Voting Machines]]+EDProj[[#This Row],[Old EPB Allocation]]</f>
        <v>5</v>
      </c>
      <c r="V174" s="38">
        <f>EDProj[[#This Row],[Tables Needed]]</f>
        <v>5</v>
      </c>
      <c r="W174" s="27">
        <v>0</v>
      </c>
      <c r="X174" s="27">
        <v>0</v>
      </c>
      <c r="Y174" s="23">
        <f>ROUNDUP(IF(EDProj[[#This Row],[Tables Needed]]-EDProj[[#This Row],[Tables Provided by the Vote Center]]&lt;0,0,EDProj[[#This Row],[Tables Needed]]-EDProj[[#This Row],[Tables Provided by the Vote Center]]),0)</f>
        <v>5</v>
      </c>
      <c r="Z174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175" spans="1:26" ht="13.9">
      <c r="A175" s="23" t="s">
        <v>294</v>
      </c>
      <c r="B175" s="24" t="s">
        <v>295</v>
      </c>
      <c r="C175" s="73" t="s">
        <v>588</v>
      </c>
      <c r="D175" s="25" t="s">
        <v>613</v>
      </c>
      <c r="E175" s="26" t="s">
        <v>614</v>
      </c>
      <c r="F175" s="92">
        <v>249</v>
      </c>
      <c r="G175" s="27">
        <v>4</v>
      </c>
      <c r="H175" s="27">
        <v>4</v>
      </c>
      <c r="I175" s="27">
        <v>4</v>
      </c>
      <c r="J175" s="27">
        <v>1</v>
      </c>
      <c r="K175" s="27">
        <v>0</v>
      </c>
      <c r="L175" s="27">
        <v>0</v>
      </c>
      <c r="M175" s="23">
        <f>SUM(EDProj[[#This Row],[★ Hard Case Voting Machines]:[★ Curbside (Rollie) Voting Machine]])</f>
        <v>5</v>
      </c>
      <c r="N175" s="23">
        <v>1</v>
      </c>
      <c r="O175" s="27">
        <v>5</v>
      </c>
      <c r="P175" s="27">
        <v>1</v>
      </c>
      <c r="Q175" s="23">
        <v>1</v>
      </c>
      <c r="R175" s="27">
        <f>EDProj[[#This Row],[★ Judge]]+EDProj[[#This Row],[★ Alt Judge]]+EDProj[[#This Row],[★ Clerks]]</f>
        <v>7</v>
      </c>
      <c r="S175" s="28">
        <v>500</v>
      </c>
      <c r="T175" s="23">
        <f>EDProj[[#This Row],[★ Ballot Cards]]/250</f>
        <v>2</v>
      </c>
      <c r="U175" s="38">
        <f>EDProj[[#This Row],[★ Soft Case (ADA) Voting Machines]]+EDProj[[#This Row],[Old EPB Allocation]]</f>
        <v>5</v>
      </c>
      <c r="V175" s="38">
        <f>EDProj[[#This Row],[Tables Needed]]</f>
        <v>5</v>
      </c>
      <c r="W175" s="27">
        <v>11</v>
      </c>
      <c r="X175" s="27">
        <v>60</v>
      </c>
      <c r="Y175" s="23">
        <f>ROUNDUP(IF(EDProj[[#This Row],[Tables Needed]]-EDProj[[#This Row],[Tables Provided by the Vote Center]]&lt;0,0,EDProj[[#This Row],[Tables Needed]]-EDProj[[#This Row],[Tables Provided by the Vote Center]]),0)</f>
        <v>0</v>
      </c>
      <c r="Z175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176" spans="1:26" ht="13.9">
      <c r="A176" s="23" t="s">
        <v>294</v>
      </c>
      <c r="B176" s="24" t="s">
        <v>295</v>
      </c>
      <c r="C176" s="73" t="s">
        <v>588</v>
      </c>
      <c r="D176" s="25" t="s">
        <v>615</v>
      </c>
      <c r="E176" s="26" t="s">
        <v>616</v>
      </c>
      <c r="F176" s="92">
        <v>333</v>
      </c>
      <c r="G176" s="27">
        <v>4</v>
      </c>
      <c r="H176" s="27">
        <v>4</v>
      </c>
      <c r="I176" s="27">
        <v>4</v>
      </c>
      <c r="J176" s="27">
        <v>1</v>
      </c>
      <c r="K176" s="27">
        <v>0</v>
      </c>
      <c r="L176" s="27">
        <v>0</v>
      </c>
      <c r="M176" s="23">
        <f>SUM(EDProj[[#This Row],[★ Hard Case Voting Machines]:[★ Curbside (Rollie) Voting Machine]])</f>
        <v>5</v>
      </c>
      <c r="N176" s="23">
        <v>1</v>
      </c>
      <c r="O176" s="27">
        <v>5</v>
      </c>
      <c r="P176" s="27">
        <v>1</v>
      </c>
      <c r="Q176" s="23">
        <v>1</v>
      </c>
      <c r="R176" s="27">
        <f>EDProj[[#This Row],[★ Judge]]+EDProj[[#This Row],[★ Alt Judge]]+EDProj[[#This Row],[★ Clerks]]</f>
        <v>7</v>
      </c>
      <c r="S176" s="28">
        <v>750</v>
      </c>
      <c r="T176" s="23">
        <f>EDProj[[#This Row],[★ Ballot Cards]]/250</f>
        <v>3</v>
      </c>
      <c r="U176" s="38">
        <f>EDProj[[#This Row],[★ Soft Case (ADA) Voting Machines]]+EDProj[[#This Row],[Old EPB Allocation]]</f>
        <v>5</v>
      </c>
      <c r="V176" s="38">
        <f>EDProj[[#This Row],[Tables Needed]]</f>
        <v>5</v>
      </c>
      <c r="W176" s="27">
        <v>1</v>
      </c>
      <c r="X176" s="27">
        <v>30</v>
      </c>
      <c r="Y176" s="23">
        <f>ROUNDUP(IF(EDProj[[#This Row],[Tables Needed]]-EDProj[[#This Row],[Tables Provided by the Vote Center]]&lt;0,0,EDProj[[#This Row],[Tables Needed]]-EDProj[[#This Row],[Tables Provided by the Vote Center]]),0)</f>
        <v>4</v>
      </c>
      <c r="Z176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177" spans="1:26" ht="13.9">
      <c r="A177" s="23" t="s">
        <v>294</v>
      </c>
      <c r="B177" s="24" t="s">
        <v>295</v>
      </c>
      <c r="C177" s="73" t="s">
        <v>588</v>
      </c>
      <c r="D177" s="25" t="s">
        <v>617</v>
      </c>
      <c r="E177" s="26" t="s">
        <v>618</v>
      </c>
      <c r="F177" s="92">
        <v>293</v>
      </c>
      <c r="G177" s="27">
        <v>4</v>
      </c>
      <c r="H177" s="27">
        <v>4</v>
      </c>
      <c r="I177" s="27">
        <v>4</v>
      </c>
      <c r="J177" s="27">
        <v>1</v>
      </c>
      <c r="K177" s="27">
        <v>0</v>
      </c>
      <c r="L177" s="27">
        <v>0</v>
      </c>
      <c r="M177" s="23">
        <f>SUM(EDProj[[#This Row],[★ Hard Case Voting Machines]:[★ Curbside (Rollie) Voting Machine]])</f>
        <v>5</v>
      </c>
      <c r="N177" s="23">
        <v>1</v>
      </c>
      <c r="O177" s="27">
        <v>5</v>
      </c>
      <c r="P177" s="27">
        <v>1</v>
      </c>
      <c r="Q177" s="23">
        <v>1</v>
      </c>
      <c r="R177" s="27">
        <f>EDProj[[#This Row],[★ Judge]]+EDProj[[#This Row],[★ Alt Judge]]+EDProj[[#This Row],[★ Clerks]]</f>
        <v>7</v>
      </c>
      <c r="S177" s="28">
        <v>500</v>
      </c>
      <c r="T177" s="23">
        <f>EDProj[[#This Row],[★ Ballot Cards]]/250</f>
        <v>2</v>
      </c>
      <c r="U177" s="38">
        <f>EDProj[[#This Row],[★ Soft Case (ADA) Voting Machines]]+EDProj[[#This Row],[Old EPB Allocation]]</f>
        <v>5</v>
      </c>
      <c r="V177" s="38">
        <f>EDProj[[#This Row],[Tables Needed]]</f>
        <v>5</v>
      </c>
      <c r="W177" s="27">
        <v>35</v>
      </c>
      <c r="X177" s="27">
        <v>300</v>
      </c>
      <c r="Y177" s="23">
        <f>ROUNDUP(IF(EDProj[[#This Row],[Tables Needed]]-EDProj[[#This Row],[Tables Provided by the Vote Center]]&lt;0,0,EDProj[[#This Row],[Tables Needed]]-EDProj[[#This Row],[Tables Provided by the Vote Center]]),0)</f>
        <v>0</v>
      </c>
      <c r="Z177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178" spans="1:26" ht="13.9">
      <c r="A178" s="23" t="s">
        <v>294</v>
      </c>
      <c r="B178" s="24" t="s">
        <v>295</v>
      </c>
      <c r="C178" s="73" t="s">
        <v>588</v>
      </c>
      <c r="D178" s="25" t="s">
        <v>619</v>
      </c>
      <c r="E178" s="26" t="s">
        <v>620</v>
      </c>
      <c r="F178" s="92">
        <v>410</v>
      </c>
      <c r="G178" s="27">
        <v>4</v>
      </c>
      <c r="H178" s="27">
        <v>4</v>
      </c>
      <c r="I178" s="27">
        <v>6</v>
      </c>
      <c r="J178" s="27">
        <v>1</v>
      </c>
      <c r="K178" s="27">
        <v>0</v>
      </c>
      <c r="L178" s="27">
        <v>0</v>
      </c>
      <c r="M178" s="23">
        <f>SUM(EDProj[[#This Row],[★ Hard Case Voting Machines]:[★ Curbside (Rollie) Voting Machine]])</f>
        <v>7</v>
      </c>
      <c r="N178" s="23">
        <v>1</v>
      </c>
      <c r="O178" s="27">
        <v>5</v>
      </c>
      <c r="P178" s="27">
        <v>1</v>
      </c>
      <c r="Q178" s="23">
        <v>1</v>
      </c>
      <c r="R178" s="27">
        <f>EDProj[[#This Row],[★ Judge]]+EDProj[[#This Row],[★ Alt Judge]]+EDProj[[#This Row],[★ Clerks]]</f>
        <v>7</v>
      </c>
      <c r="S178" s="28">
        <v>750</v>
      </c>
      <c r="T178" s="23">
        <f>EDProj[[#This Row],[★ Ballot Cards]]/250</f>
        <v>3</v>
      </c>
      <c r="U178" s="38">
        <f>EDProj[[#This Row],[★ Soft Case (ADA) Voting Machines]]+EDProj[[#This Row],[Old EPB Allocation]]</f>
        <v>5</v>
      </c>
      <c r="V178" s="38">
        <f>EDProj[[#This Row],[Tables Needed]]</f>
        <v>5</v>
      </c>
      <c r="W178" s="27">
        <v>0</v>
      </c>
      <c r="X178" s="27">
        <v>0</v>
      </c>
      <c r="Y178" s="23">
        <f>ROUNDUP(IF(EDProj[[#This Row],[Tables Needed]]-EDProj[[#This Row],[Tables Provided by the Vote Center]]&lt;0,0,EDProj[[#This Row],[Tables Needed]]-EDProj[[#This Row],[Tables Provided by the Vote Center]]),0)</f>
        <v>5</v>
      </c>
      <c r="Z178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179" spans="1:26" ht="13.9">
      <c r="A179" s="23" t="s">
        <v>294</v>
      </c>
      <c r="B179" s="24" t="s">
        <v>295</v>
      </c>
      <c r="C179" s="73" t="s">
        <v>588</v>
      </c>
      <c r="D179" s="25" t="s">
        <v>621</v>
      </c>
      <c r="E179" s="26" t="s">
        <v>622</v>
      </c>
      <c r="F179" s="92">
        <v>186</v>
      </c>
      <c r="G179" s="27">
        <v>4</v>
      </c>
      <c r="H179" s="27">
        <v>4</v>
      </c>
      <c r="I179" s="27">
        <v>3</v>
      </c>
      <c r="J179" s="27">
        <v>1</v>
      </c>
      <c r="K179" s="27">
        <v>0</v>
      </c>
      <c r="L179" s="27">
        <v>0</v>
      </c>
      <c r="M179" s="23">
        <f>SUM(EDProj[[#This Row],[★ Hard Case Voting Machines]:[★ Curbside (Rollie) Voting Machine]])</f>
        <v>4</v>
      </c>
      <c r="N179" s="23">
        <v>1</v>
      </c>
      <c r="O179" s="27">
        <v>4</v>
      </c>
      <c r="P179" s="27">
        <v>1</v>
      </c>
      <c r="Q179" s="23">
        <v>1</v>
      </c>
      <c r="R179" s="27">
        <f>EDProj[[#This Row],[★ Judge]]+EDProj[[#This Row],[★ Alt Judge]]+EDProj[[#This Row],[★ Clerks]]</f>
        <v>6</v>
      </c>
      <c r="S179" s="28">
        <v>500</v>
      </c>
      <c r="T179" s="23">
        <f>EDProj[[#This Row],[★ Ballot Cards]]/250</f>
        <v>2</v>
      </c>
      <c r="U179" s="38">
        <f>EDProj[[#This Row],[★ Soft Case (ADA) Voting Machines]]+EDProj[[#This Row],[Old EPB Allocation]]</f>
        <v>5</v>
      </c>
      <c r="V179" s="38">
        <f>EDProj[[#This Row],[Tables Needed]]</f>
        <v>5</v>
      </c>
      <c r="W179" s="27">
        <v>4</v>
      </c>
      <c r="X179" s="27">
        <v>4</v>
      </c>
      <c r="Y179" s="23">
        <f>ROUNDUP(IF(EDProj[[#This Row],[Tables Needed]]-EDProj[[#This Row],[Tables Provided by the Vote Center]]&lt;0,0,EDProj[[#This Row],[Tables Needed]]-EDProj[[#This Row],[Tables Provided by the Vote Center]]),0)</f>
        <v>1</v>
      </c>
      <c r="Z179" s="23">
        <f>ROUNDUP(IF(EDProj[[#This Row],[Chairs Needed]]-EDProj[[#This Row],[Chairs Provided by the Vote Center]]&lt;0,0,EDProj[[#This Row],[Chairs Needed]]-EDProj[[#This Row],[Chairs Provided by the Vote Center]]),0)</f>
        <v>1</v>
      </c>
    </row>
    <row r="180" spans="1:26" ht="13.9">
      <c r="A180" s="23" t="s">
        <v>294</v>
      </c>
      <c r="B180" s="24" t="s">
        <v>295</v>
      </c>
      <c r="C180" s="73" t="s">
        <v>588</v>
      </c>
      <c r="D180" s="25" t="s">
        <v>623</v>
      </c>
      <c r="E180" s="26" t="s">
        <v>624</v>
      </c>
      <c r="F180" s="92">
        <v>333</v>
      </c>
      <c r="G180" s="27">
        <v>4</v>
      </c>
      <c r="H180" s="27">
        <v>4</v>
      </c>
      <c r="I180" s="27">
        <v>4</v>
      </c>
      <c r="J180" s="27">
        <v>1</v>
      </c>
      <c r="K180" s="27">
        <v>0</v>
      </c>
      <c r="L180" s="27">
        <v>0</v>
      </c>
      <c r="M180" s="23">
        <f>SUM(EDProj[[#This Row],[★ Hard Case Voting Machines]:[★ Curbside (Rollie) Voting Machine]])</f>
        <v>5</v>
      </c>
      <c r="N180" s="23">
        <v>1</v>
      </c>
      <c r="O180" s="27">
        <v>5</v>
      </c>
      <c r="P180" s="27">
        <v>1</v>
      </c>
      <c r="Q180" s="23">
        <v>1</v>
      </c>
      <c r="R180" s="27">
        <f>EDProj[[#This Row],[★ Judge]]+EDProj[[#This Row],[★ Alt Judge]]+EDProj[[#This Row],[★ Clerks]]</f>
        <v>7</v>
      </c>
      <c r="S180" s="28">
        <v>750</v>
      </c>
      <c r="T180" s="23">
        <f>EDProj[[#This Row],[★ Ballot Cards]]/250</f>
        <v>3</v>
      </c>
      <c r="U180" s="38">
        <f>EDProj[[#This Row],[★ Soft Case (ADA) Voting Machines]]+EDProj[[#This Row],[Old EPB Allocation]]</f>
        <v>5</v>
      </c>
      <c r="V180" s="38">
        <f>EDProj[[#This Row],[Tables Needed]]</f>
        <v>5</v>
      </c>
      <c r="W180" s="27">
        <v>0</v>
      </c>
      <c r="X180" s="27">
        <v>0</v>
      </c>
      <c r="Y180" s="23">
        <f>ROUNDUP(IF(EDProj[[#This Row],[Tables Needed]]-EDProj[[#This Row],[Tables Provided by the Vote Center]]&lt;0,0,EDProj[[#This Row],[Tables Needed]]-EDProj[[#This Row],[Tables Provided by the Vote Center]]),0)</f>
        <v>5</v>
      </c>
      <c r="Z180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181" spans="1:26" ht="13.9">
      <c r="A181" s="23" t="s">
        <v>294</v>
      </c>
      <c r="B181" s="24" t="s">
        <v>295</v>
      </c>
      <c r="C181" s="73" t="s">
        <v>588</v>
      </c>
      <c r="D181" s="25" t="s">
        <v>625</v>
      </c>
      <c r="E181" s="26" t="s">
        <v>626</v>
      </c>
      <c r="F181" s="92">
        <v>241</v>
      </c>
      <c r="G181" s="27">
        <v>4</v>
      </c>
      <c r="H181" s="27">
        <v>4</v>
      </c>
      <c r="I181" s="27">
        <v>3</v>
      </c>
      <c r="J181" s="27">
        <v>1</v>
      </c>
      <c r="K181" s="27">
        <v>0</v>
      </c>
      <c r="L181" s="27">
        <v>0</v>
      </c>
      <c r="M181" s="23">
        <f>SUM(EDProj[[#This Row],[★ Hard Case Voting Machines]:[★ Curbside (Rollie) Voting Machine]])</f>
        <v>4</v>
      </c>
      <c r="N181" s="23">
        <v>1</v>
      </c>
      <c r="O181" s="27">
        <v>4</v>
      </c>
      <c r="P181" s="27">
        <v>1</v>
      </c>
      <c r="Q181" s="23">
        <v>1</v>
      </c>
      <c r="R181" s="27">
        <f>EDProj[[#This Row],[★ Judge]]+EDProj[[#This Row],[★ Alt Judge]]+EDProj[[#This Row],[★ Clerks]]</f>
        <v>6</v>
      </c>
      <c r="S181" s="28">
        <v>500</v>
      </c>
      <c r="T181" s="23">
        <f>EDProj[[#This Row],[★ Ballot Cards]]/250</f>
        <v>2</v>
      </c>
      <c r="U181" s="38">
        <f>EDProj[[#This Row],[★ Soft Case (ADA) Voting Machines]]+EDProj[[#This Row],[Old EPB Allocation]]</f>
        <v>5</v>
      </c>
      <c r="V181" s="38">
        <f>EDProj[[#This Row],[Tables Needed]]</f>
        <v>5</v>
      </c>
      <c r="W181" s="27">
        <v>0</v>
      </c>
      <c r="X181" s="27">
        <v>0</v>
      </c>
      <c r="Y181" s="23">
        <f>ROUNDUP(IF(EDProj[[#This Row],[Tables Needed]]-EDProj[[#This Row],[Tables Provided by the Vote Center]]&lt;0,0,EDProj[[#This Row],[Tables Needed]]-EDProj[[#This Row],[Tables Provided by the Vote Center]]),0)</f>
        <v>5</v>
      </c>
      <c r="Z181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182" spans="1:26" ht="13.9">
      <c r="A182" s="23" t="s">
        <v>294</v>
      </c>
      <c r="B182" s="24" t="s">
        <v>295</v>
      </c>
      <c r="C182" s="73" t="s">
        <v>588</v>
      </c>
      <c r="D182" s="25" t="s">
        <v>627</v>
      </c>
      <c r="E182" s="26" t="s">
        <v>628</v>
      </c>
      <c r="F182" s="92">
        <v>163</v>
      </c>
      <c r="G182" s="27">
        <v>4</v>
      </c>
      <c r="H182" s="27">
        <v>4</v>
      </c>
      <c r="I182" s="27">
        <v>2</v>
      </c>
      <c r="J182" s="27">
        <v>1</v>
      </c>
      <c r="K182" s="27">
        <v>0</v>
      </c>
      <c r="L182" s="27">
        <v>0</v>
      </c>
      <c r="M182" s="23">
        <f>SUM(EDProj[[#This Row],[★ Hard Case Voting Machines]:[★ Curbside (Rollie) Voting Machine]])</f>
        <v>3</v>
      </c>
      <c r="N182" s="23">
        <v>1</v>
      </c>
      <c r="O182" s="27">
        <v>4</v>
      </c>
      <c r="P182" s="27">
        <v>1</v>
      </c>
      <c r="Q182" s="23">
        <v>1</v>
      </c>
      <c r="R182" s="27">
        <f>EDProj[[#This Row],[★ Judge]]+EDProj[[#This Row],[★ Alt Judge]]+EDProj[[#This Row],[★ Clerks]]</f>
        <v>6</v>
      </c>
      <c r="S182" s="28">
        <v>500</v>
      </c>
      <c r="T182" s="23">
        <f>EDProj[[#This Row],[★ Ballot Cards]]/250</f>
        <v>2</v>
      </c>
      <c r="U182" s="38">
        <f>EDProj[[#This Row],[★ Soft Case (ADA) Voting Machines]]+EDProj[[#This Row],[Old EPB Allocation]]</f>
        <v>5</v>
      </c>
      <c r="V182" s="38">
        <f>EDProj[[#This Row],[Tables Needed]]</f>
        <v>5</v>
      </c>
      <c r="W182" s="27">
        <v>0</v>
      </c>
      <c r="X182" s="27">
        <v>0</v>
      </c>
      <c r="Y182" s="23">
        <f>ROUNDUP(IF(EDProj[[#This Row],[Tables Needed]]-EDProj[[#This Row],[Tables Provided by the Vote Center]]&lt;0,0,EDProj[[#This Row],[Tables Needed]]-EDProj[[#This Row],[Tables Provided by the Vote Center]]),0)</f>
        <v>5</v>
      </c>
      <c r="Z182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183" spans="1:26" ht="13.9">
      <c r="A183" s="23" t="s">
        <v>294</v>
      </c>
      <c r="B183" s="24" t="s">
        <v>295</v>
      </c>
      <c r="C183" s="73" t="s">
        <v>588</v>
      </c>
      <c r="D183" s="25" t="s">
        <v>629</v>
      </c>
      <c r="E183" s="26" t="s">
        <v>630</v>
      </c>
      <c r="F183" s="92">
        <v>217</v>
      </c>
      <c r="G183" s="27">
        <v>4</v>
      </c>
      <c r="H183" s="27">
        <v>4</v>
      </c>
      <c r="I183" s="27">
        <v>3</v>
      </c>
      <c r="J183" s="27">
        <v>1</v>
      </c>
      <c r="K183" s="27">
        <v>0</v>
      </c>
      <c r="L183" s="27">
        <v>0</v>
      </c>
      <c r="M183" s="23">
        <f>SUM(EDProj[[#This Row],[★ Hard Case Voting Machines]:[★ Curbside (Rollie) Voting Machine]])</f>
        <v>4</v>
      </c>
      <c r="N183" s="23">
        <v>1</v>
      </c>
      <c r="O183" s="27">
        <v>4</v>
      </c>
      <c r="P183" s="27">
        <v>1</v>
      </c>
      <c r="Q183" s="23">
        <v>1</v>
      </c>
      <c r="R183" s="27">
        <f>EDProj[[#This Row],[★ Judge]]+EDProj[[#This Row],[★ Alt Judge]]+EDProj[[#This Row],[★ Clerks]]</f>
        <v>6</v>
      </c>
      <c r="S183" s="28">
        <v>500</v>
      </c>
      <c r="T183" s="23">
        <f>EDProj[[#This Row],[★ Ballot Cards]]/250</f>
        <v>2</v>
      </c>
      <c r="U183" s="38">
        <f>EDProj[[#This Row],[★ Soft Case (ADA) Voting Machines]]+EDProj[[#This Row],[Old EPB Allocation]]</f>
        <v>5</v>
      </c>
      <c r="V183" s="38">
        <f>EDProj[[#This Row],[Tables Needed]]</f>
        <v>5</v>
      </c>
      <c r="W183" s="27">
        <v>0</v>
      </c>
      <c r="X183" s="27">
        <v>0</v>
      </c>
      <c r="Y183" s="23">
        <f>ROUNDUP(IF(EDProj[[#This Row],[Tables Needed]]-EDProj[[#This Row],[Tables Provided by the Vote Center]]&lt;0,0,EDProj[[#This Row],[Tables Needed]]-EDProj[[#This Row],[Tables Provided by the Vote Center]]),0)</f>
        <v>5</v>
      </c>
      <c r="Z183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184" spans="1:26" ht="13.9">
      <c r="A184" s="23" t="s">
        <v>294</v>
      </c>
      <c r="B184" s="24" t="s">
        <v>295</v>
      </c>
      <c r="C184" s="73" t="s">
        <v>588</v>
      </c>
      <c r="D184" s="25" t="s">
        <v>631</v>
      </c>
      <c r="E184" s="26" t="s">
        <v>632</v>
      </c>
      <c r="F184" s="92">
        <v>350</v>
      </c>
      <c r="G184" s="27">
        <v>4</v>
      </c>
      <c r="H184" s="27">
        <v>4</v>
      </c>
      <c r="I184" s="27">
        <v>5</v>
      </c>
      <c r="J184" s="27">
        <v>1</v>
      </c>
      <c r="K184" s="27">
        <v>0</v>
      </c>
      <c r="L184" s="27">
        <v>0</v>
      </c>
      <c r="M184" s="23">
        <f>SUM(EDProj[[#This Row],[★ Hard Case Voting Machines]:[★ Curbside (Rollie) Voting Machine]])</f>
        <v>6</v>
      </c>
      <c r="N184" s="23">
        <v>1</v>
      </c>
      <c r="O184" s="27">
        <v>5</v>
      </c>
      <c r="P184" s="27">
        <v>1</v>
      </c>
      <c r="Q184" s="23">
        <v>1</v>
      </c>
      <c r="R184" s="27">
        <f>EDProj[[#This Row],[★ Judge]]+EDProj[[#This Row],[★ Alt Judge]]+EDProj[[#This Row],[★ Clerks]]</f>
        <v>7</v>
      </c>
      <c r="S184" s="28">
        <v>750</v>
      </c>
      <c r="T184" s="23">
        <f>EDProj[[#This Row],[★ Ballot Cards]]/250</f>
        <v>3</v>
      </c>
      <c r="U184" s="38">
        <f>EDProj[[#This Row],[★ Soft Case (ADA) Voting Machines]]+EDProj[[#This Row],[Old EPB Allocation]]</f>
        <v>5</v>
      </c>
      <c r="V184" s="38">
        <f>EDProj[[#This Row],[Tables Needed]]</f>
        <v>5</v>
      </c>
      <c r="W184" s="27">
        <v>0</v>
      </c>
      <c r="X184" s="27">
        <v>0</v>
      </c>
      <c r="Y184" s="23">
        <f>ROUNDUP(IF(EDProj[[#This Row],[Tables Needed]]-EDProj[[#This Row],[Tables Provided by the Vote Center]]&lt;0,0,EDProj[[#This Row],[Tables Needed]]-EDProj[[#This Row],[Tables Provided by the Vote Center]]),0)</f>
        <v>5</v>
      </c>
      <c r="Z184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185" spans="1:26" ht="13.9">
      <c r="A185" s="23" t="s">
        <v>294</v>
      </c>
      <c r="B185" s="24" t="s">
        <v>295</v>
      </c>
      <c r="C185" s="73" t="s">
        <v>588</v>
      </c>
      <c r="D185" s="25" t="s">
        <v>633</v>
      </c>
      <c r="E185" s="26" t="s">
        <v>634</v>
      </c>
      <c r="F185" s="92">
        <v>230</v>
      </c>
      <c r="G185" s="27">
        <v>4</v>
      </c>
      <c r="H185" s="27">
        <v>4</v>
      </c>
      <c r="I185" s="27">
        <v>3</v>
      </c>
      <c r="J185" s="27">
        <v>1</v>
      </c>
      <c r="K185" s="27">
        <v>0</v>
      </c>
      <c r="L185" s="27">
        <v>0</v>
      </c>
      <c r="M185" s="23">
        <f>SUM(EDProj[[#This Row],[★ Hard Case Voting Machines]:[★ Curbside (Rollie) Voting Machine]])</f>
        <v>4</v>
      </c>
      <c r="N185" s="23">
        <v>1</v>
      </c>
      <c r="O185" s="27">
        <v>4</v>
      </c>
      <c r="P185" s="27">
        <v>1</v>
      </c>
      <c r="Q185" s="23">
        <v>1</v>
      </c>
      <c r="R185" s="27">
        <f>EDProj[[#This Row],[★ Judge]]+EDProj[[#This Row],[★ Alt Judge]]+EDProj[[#This Row],[★ Clerks]]</f>
        <v>6</v>
      </c>
      <c r="S185" s="28">
        <v>500</v>
      </c>
      <c r="T185" s="23">
        <f>EDProj[[#This Row],[★ Ballot Cards]]/250</f>
        <v>2</v>
      </c>
      <c r="U185" s="38">
        <f>EDProj[[#This Row],[★ Soft Case (ADA) Voting Machines]]+EDProj[[#This Row],[Old EPB Allocation]]</f>
        <v>5</v>
      </c>
      <c r="V185" s="38">
        <f>EDProj[[#This Row],[Tables Needed]]</f>
        <v>5</v>
      </c>
      <c r="W185" s="27">
        <v>0</v>
      </c>
      <c r="X185" s="27">
        <v>0</v>
      </c>
      <c r="Y185" s="23">
        <f>ROUNDUP(IF(EDProj[[#This Row],[Tables Needed]]-EDProj[[#This Row],[Tables Provided by the Vote Center]]&lt;0,0,EDProj[[#This Row],[Tables Needed]]-EDProj[[#This Row],[Tables Provided by the Vote Center]]),0)</f>
        <v>5</v>
      </c>
      <c r="Z185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186" spans="1:26" ht="13.9">
      <c r="A186" s="23" t="s">
        <v>294</v>
      </c>
      <c r="B186" s="24" t="s">
        <v>295</v>
      </c>
      <c r="C186" s="73" t="s">
        <v>588</v>
      </c>
      <c r="D186" s="25" t="s">
        <v>635</v>
      </c>
      <c r="E186" s="26" t="s">
        <v>636</v>
      </c>
      <c r="F186" s="92">
        <v>395</v>
      </c>
      <c r="G186" s="27">
        <v>4</v>
      </c>
      <c r="H186" s="27">
        <v>4</v>
      </c>
      <c r="I186" s="27">
        <v>5</v>
      </c>
      <c r="J186" s="27">
        <v>1</v>
      </c>
      <c r="K186" s="27">
        <v>0</v>
      </c>
      <c r="L186" s="27">
        <v>0</v>
      </c>
      <c r="M186" s="23">
        <f>SUM(EDProj[[#This Row],[★ Hard Case Voting Machines]:[★ Curbside (Rollie) Voting Machine]])</f>
        <v>6</v>
      </c>
      <c r="N186" s="23">
        <v>1</v>
      </c>
      <c r="O186" s="27">
        <v>5</v>
      </c>
      <c r="P186" s="27">
        <v>1</v>
      </c>
      <c r="Q186" s="23">
        <v>1</v>
      </c>
      <c r="R186" s="27">
        <f>EDProj[[#This Row],[★ Judge]]+EDProj[[#This Row],[★ Alt Judge]]+EDProj[[#This Row],[★ Clerks]]</f>
        <v>7</v>
      </c>
      <c r="S186" s="28">
        <v>750</v>
      </c>
      <c r="T186" s="23">
        <f>EDProj[[#This Row],[★ Ballot Cards]]/250</f>
        <v>3</v>
      </c>
      <c r="U186" s="38">
        <f>EDProj[[#This Row],[★ Soft Case (ADA) Voting Machines]]+EDProj[[#This Row],[Old EPB Allocation]]</f>
        <v>5</v>
      </c>
      <c r="V186" s="38">
        <f>EDProj[[#This Row],[Tables Needed]]</f>
        <v>5</v>
      </c>
      <c r="W186" s="27">
        <v>4</v>
      </c>
      <c r="X186" s="27">
        <v>4</v>
      </c>
      <c r="Y186" s="23">
        <f>ROUNDUP(IF(EDProj[[#This Row],[Tables Needed]]-EDProj[[#This Row],[Tables Provided by the Vote Center]]&lt;0,0,EDProj[[#This Row],[Tables Needed]]-EDProj[[#This Row],[Tables Provided by the Vote Center]]),0)</f>
        <v>1</v>
      </c>
      <c r="Z186" s="23">
        <f>ROUNDUP(IF(EDProj[[#This Row],[Chairs Needed]]-EDProj[[#This Row],[Chairs Provided by the Vote Center]]&lt;0,0,EDProj[[#This Row],[Chairs Needed]]-EDProj[[#This Row],[Chairs Provided by the Vote Center]]),0)</f>
        <v>1</v>
      </c>
    </row>
    <row r="187" spans="1:26" ht="13.9">
      <c r="A187" s="23" t="s">
        <v>294</v>
      </c>
      <c r="B187" s="24" t="s">
        <v>295</v>
      </c>
      <c r="C187" s="73" t="s">
        <v>588</v>
      </c>
      <c r="D187" s="25" t="s">
        <v>637</v>
      </c>
      <c r="E187" s="26" t="s">
        <v>638</v>
      </c>
      <c r="F187" s="92">
        <v>180</v>
      </c>
      <c r="G187" s="27">
        <v>4</v>
      </c>
      <c r="H187" s="27">
        <v>4</v>
      </c>
      <c r="I187" s="27">
        <v>3</v>
      </c>
      <c r="J187" s="27">
        <v>1</v>
      </c>
      <c r="K187" s="27">
        <v>0</v>
      </c>
      <c r="L187" s="27">
        <v>0</v>
      </c>
      <c r="M187" s="23">
        <f>SUM(EDProj[[#This Row],[★ Hard Case Voting Machines]:[★ Curbside (Rollie) Voting Machine]])</f>
        <v>4</v>
      </c>
      <c r="N187" s="23">
        <v>1</v>
      </c>
      <c r="O187" s="27">
        <v>4</v>
      </c>
      <c r="P187" s="27">
        <v>1</v>
      </c>
      <c r="Q187" s="23">
        <v>1</v>
      </c>
      <c r="R187" s="27">
        <f>EDProj[[#This Row],[★ Judge]]+EDProj[[#This Row],[★ Alt Judge]]+EDProj[[#This Row],[★ Clerks]]</f>
        <v>6</v>
      </c>
      <c r="S187" s="28">
        <v>500</v>
      </c>
      <c r="T187" s="23">
        <f>EDProj[[#This Row],[★ Ballot Cards]]/250</f>
        <v>2</v>
      </c>
      <c r="U187" s="38">
        <f>EDProj[[#This Row],[★ Soft Case (ADA) Voting Machines]]+EDProj[[#This Row],[Old EPB Allocation]]</f>
        <v>5</v>
      </c>
      <c r="V187" s="38">
        <f>EDProj[[#This Row],[Tables Needed]]</f>
        <v>5</v>
      </c>
      <c r="W187" s="27">
        <v>0</v>
      </c>
      <c r="X187" s="27">
        <v>0</v>
      </c>
      <c r="Y187" s="23">
        <f>ROUNDUP(IF(EDProj[[#This Row],[Tables Needed]]-EDProj[[#This Row],[Tables Provided by the Vote Center]]&lt;0,0,EDProj[[#This Row],[Tables Needed]]-EDProj[[#This Row],[Tables Provided by the Vote Center]]),0)</f>
        <v>5</v>
      </c>
      <c r="Z187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188" spans="1:26" ht="13.9">
      <c r="A188" s="23" t="s">
        <v>113</v>
      </c>
      <c r="B188" s="24" t="s">
        <v>292</v>
      </c>
      <c r="C188" s="73" t="s">
        <v>588</v>
      </c>
      <c r="D188" s="30" t="s">
        <v>291</v>
      </c>
      <c r="E188" s="31" t="s">
        <v>293</v>
      </c>
      <c r="F188" s="93">
        <v>3272</v>
      </c>
      <c r="G188" s="27">
        <v>6.333333333333333</v>
      </c>
      <c r="H188" s="27">
        <v>8</v>
      </c>
      <c r="I188" s="27">
        <v>21</v>
      </c>
      <c r="J188" s="27">
        <v>3</v>
      </c>
      <c r="K188" s="27">
        <v>2</v>
      </c>
      <c r="L188" s="27">
        <v>1</v>
      </c>
      <c r="M188" s="23">
        <f>SUM(EDProj[[#This Row],[★ Hard Case Voting Machines]:[★ Curbside (Rollie) Voting Machine]])</f>
        <v>27</v>
      </c>
      <c r="N188" s="23">
        <v>1</v>
      </c>
      <c r="O188" s="27">
        <v>14</v>
      </c>
      <c r="P188" s="27">
        <v>1</v>
      </c>
      <c r="Q188" s="23">
        <v>1</v>
      </c>
      <c r="R188" s="27">
        <f>EDProj[[#This Row],[★ Judge]]+EDProj[[#This Row],[★ Alt Judge]]+EDProj[[#This Row],[★ Clerks]]</f>
        <v>16</v>
      </c>
      <c r="S188" s="28">
        <v>3750</v>
      </c>
      <c r="T188" s="23">
        <f>EDProj[[#This Row],[★ Ballot Cards]]/250</f>
        <v>15</v>
      </c>
      <c r="U188" s="38">
        <f>EDProj[[#This Row],[★ Soft Case (ADA) Voting Machines]]+EDProj[[#This Row],[Old EPB Allocation]]</f>
        <v>9.3333333333333321</v>
      </c>
      <c r="V188" s="38">
        <f>EDProj[[#This Row],[Tables Needed]]</f>
        <v>9.3333333333333321</v>
      </c>
      <c r="W188" s="27">
        <v>25</v>
      </c>
      <c r="X188" s="27">
        <v>100</v>
      </c>
      <c r="Y188" s="23">
        <f>ROUNDUP(IF(EDProj[[#This Row],[Tables Needed]]-EDProj[[#This Row],[Tables Provided by the Vote Center]]&lt;0,0,EDProj[[#This Row],[Tables Needed]]-EDProj[[#This Row],[Tables Provided by the Vote Center]]),0)</f>
        <v>0</v>
      </c>
      <c r="Z188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189" spans="1:26" ht="13.9">
      <c r="A189" s="23" t="s">
        <v>294</v>
      </c>
      <c r="B189" s="24" t="s">
        <v>295</v>
      </c>
      <c r="C189" s="73" t="s">
        <v>588</v>
      </c>
      <c r="D189" s="25" t="s">
        <v>639</v>
      </c>
      <c r="E189" s="26" t="s">
        <v>640</v>
      </c>
      <c r="F189" s="92">
        <v>298</v>
      </c>
      <c r="G189" s="27">
        <v>4</v>
      </c>
      <c r="H189" s="27">
        <v>4</v>
      </c>
      <c r="I189" s="27">
        <v>4</v>
      </c>
      <c r="J189" s="27">
        <v>1</v>
      </c>
      <c r="K189" s="27">
        <v>0</v>
      </c>
      <c r="L189" s="27">
        <v>0</v>
      </c>
      <c r="M189" s="23">
        <f>SUM(EDProj[[#This Row],[★ Hard Case Voting Machines]:[★ Curbside (Rollie) Voting Machine]])</f>
        <v>5</v>
      </c>
      <c r="N189" s="23">
        <v>1</v>
      </c>
      <c r="O189" s="27">
        <v>5</v>
      </c>
      <c r="P189" s="27">
        <v>1</v>
      </c>
      <c r="Q189" s="23">
        <v>1</v>
      </c>
      <c r="R189" s="27">
        <f>EDProj[[#This Row],[★ Judge]]+EDProj[[#This Row],[★ Alt Judge]]+EDProj[[#This Row],[★ Clerks]]</f>
        <v>7</v>
      </c>
      <c r="S189" s="28">
        <v>500</v>
      </c>
      <c r="T189" s="23">
        <f>EDProj[[#This Row],[★ Ballot Cards]]/250</f>
        <v>2</v>
      </c>
      <c r="U189" s="38">
        <f>EDProj[[#This Row],[★ Soft Case (ADA) Voting Machines]]+EDProj[[#This Row],[Old EPB Allocation]]</f>
        <v>5</v>
      </c>
      <c r="V189" s="38">
        <f>EDProj[[#This Row],[Tables Needed]]</f>
        <v>5</v>
      </c>
      <c r="W189" s="27">
        <v>4</v>
      </c>
      <c r="X189" s="27">
        <v>4</v>
      </c>
      <c r="Y189" s="23">
        <f>ROUNDUP(IF(EDProj[[#This Row],[Tables Needed]]-EDProj[[#This Row],[Tables Provided by the Vote Center]]&lt;0,0,EDProj[[#This Row],[Tables Needed]]-EDProj[[#This Row],[Tables Provided by the Vote Center]]),0)</f>
        <v>1</v>
      </c>
      <c r="Z189" s="23">
        <f>ROUNDUP(IF(EDProj[[#This Row],[Chairs Needed]]-EDProj[[#This Row],[Chairs Provided by the Vote Center]]&lt;0,0,EDProj[[#This Row],[Chairs Needed]]-EDProj[[#This Row],[Chairs Provided by the Vote Center]]),0)</f>
        <v>1</v>
      </c>
    </row>
    <row r="190" spans="1:26" ht="13.9">
      <c r="A190" s="23" t="s">
        <v>294</v>
      </c>
      <c r="B190" s="24" t="s">
        <v>295</v>
      </c>
      <c r="C190" s="73" t="s">
        <v>588</v>
      </c>
      <c r="D190" s="25" t="s">
        <v>641</v>
      </c>
      <c r="E190" s="26" t="s">
        <v>642</v>
      </c>
      <c r="F190" s="92">
        <v>741</v>
      </c>
      <c r="G190" s="27">
        <v>4</v>
      </c>
      <c r="H190" s="27">
        <v>4</v>
      </c>
      <c r="I190" s="27">
        <v>11</v>
      </c>
      <c r="J190" s="27">
        <v>1</v>
      </c>
      <c r="K190" s="27">
        <v>0</v>
      </c>
      <c r="L190" s="27">
        <v>0</v>
      </c>
      <c r="M190" s="23">
        <f>SUM(EDProj[[#This Row],[★ Hard Case Voting Machines]:[★ Curbside (Rollie) Voting Machine]])</f>
        <v>12</v>
      </c>
      <c r="N190" s="23">
        <v>1</v>
      </c>
      <c r="O190" s="27">
        <v>6</v>
      </c>
      <c r="P190" s="27">
        <v>1</v>
      </c>
      <c r="Q190" s="23">
        <v>1</v>
      </c>
      <c r="R190" s="27">
        <f>EDProj[[#This Row],[★ Judge]]+EDProj[[#This Row],[★ Alt Judge]]+EDProj[[#This Row],[★ Clerks]]</f>
        <v>8</v>
      </c>
      <c r="S190" s="28">
        <v>1250</v>
      </c>
      <c r="T190" s="23">
        <f>EDProj[[#This Row],[★ Ballot Cards]]/250</f>
        <v>5</v>
      </c>
      <c r="U190" s="38">
        <f>EDProj[[#This Row],[★ Soft Case (ADA) Voting Machines]]+EDProj[[#This Row],[Old EPB Allocation]]</f>
        <v>5</v>
      </c>
      <c r="V190" s="38">
        <f>EDProj[[#This Row],[Tables Needed]]</f>
        <v>5</v>
      </c>
      <c r="W190" s="27">
        <v>2</v>
      </c>
      <c r="X190" s="27">
        <v>10</v>
      </c>
      <c r="Y190" s="23">
        <f>ROUNDUP(IF(EDProj[[#This Row],[Tables Needed]]-EDProj[[#This Row],[Tables Provided by the Vote Center]]&lt;0,0,EDProj[[#This Row],[Tables Needed]]-EDProj[[#This Row],[Tables Provided by the Vote Center]]),0)</f>
        <v>3</v>
      </c>
      <c r="Z190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191" spans="1:26" ht="13.9">
      <c r="A191" s="23" t="s">
        <v>294</v>
      </c>
      <c r="B191" s="24" t="s">
        <v>295</v>
      </c>
      <c r="C191" s="73" t="s">
        <v>588</v>
      </c>
      <c r="D191" s="25" t="s">
        <v>643</v>
      </c>
      <c r="E191" s="26" t="s">
        <v>644</v>
      </c>
      <c r="F191" s="92">
        <v>514</v>
      </c>
      <c r="G191" s="27">
        <v>4</v>
      </c>
      <c r="H191" s="27">
        <v>4</v>
      </c>
      <c r="I191" s="27">
        <v>8</v>
      </c>
      <c r="J191" s="27">
        <v>1</v>
      </c>
      <c r="K191" s="27">
        <v>0</v>
      </c>
      <c r="L191" s="27">
        <v>0</v>
      </c>
      <c r="M191" s="23">
        <f>SUM(EDProj[[#This Row],[★ Hard Case Voting Machines]:[★ Curbside (Rollie) Voting Machine]])</f>
        <v>9</v>
      </c>
      <c r="N191" s="23">
        <v>1</v>
      </c>
      <c r="O191" s="27">
        <v>6</v>
      </c>
      <c r="P191" s="27">
        <v>1</v>
      </c>
      <c r="Q191" s="23">
        <v>1</v>
      </c>
      <c r="R191" s="27">
        <f>EDProj[[#This Row],[★ Judge]]+EDProj[[#This Row],[★ Alt Judge]]+EDProj[[#This Row],[★ Clerks]]</f>
        <v>8</v>
      </c>
      <c r="S191" s="28">
        <v>1000</v>
      </c>
      <c r="T191" s="23">
        <f>EDProj[[#This Row],[★ Ballot Cards]]/250</f>
        <v>4</v>
      </c>
      <c r="U191" s="38">
        <f>EDProj[[#This Row],[★ Soft Case (ADA) Voting Machines]]+EDProj[[#This Row],[Old EPB Allocation]]</f>
        <v>5</v>
      </c>
      <c r="V191" s="38">
        <f>EDProj[[#This Row],[Tables Needed]]</f>
        <v>5</v>
      </c>
      <c r="W191" s="27">
        <v>0</v>
      </c>
      <c r="X191" s="27">
        <v>0</v>
      </c>
      <c r="Y191" s="23">
        <f>ROUNDUP(IF(EDProj[[#This Row],[Tables Needed]]-EDProj[[#This Row],[Tables Provided by the Vote Center]]&lt;0,0,EDProj[[#This Row],[Tables Needed]]-EDProj[[#This Row],[Tables Provided by the Vote Center]]),0)</f>
        <v>5</v>
      </c>
      <c r="Z191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192" spans="1:26" ht="13.9">
      <c r="A192" s="23" t="s">
        <v>294</v>
      </c>
      <c r="B192" s="24" t="s">
        <v>295</v>
      </c>
      <c r="C192" s="73" t="s">
        <v>588</v>
      </c>
      <c r="D192" s="25" t="s">
        <v>645</v>
      </c>
      <c r="E192" s="26" t="s">
        <v>646</v>
      </c>
      <c r="F192" s="92">
        <v>410</v>
      </c>
      <c r="G192" s="27">
        <v>4</v>
      </c>
      <c r="H192" s="27">
        <v>4</v>
      </c>
      <c r="I192" s="27">
        <v>6</v>
      </c>
      <c r="J192" s="27">
        <v>1</v>
      </c>
      <c r="K192" s="27">
        <v>0</v>
      </c>
      <c r="L192" s="27">
        <v>1</v>
      </c>
      <c r="M192" s="23">
        <f>SUM(EDProj[[#This Row],[★ Hard Case Voting Machines]:[★ Curbside (Rollie) Voting Machine]])</f>
        <v>8</v>
      </c>
      <c r="N192" s="23">
        <v>1</v>
      </c>
      <c r="O192" s="27">
        <v>5</v>
      </c>
      <c r="P192" s="27">
        <v>1</v>
      </c>
      <c r="Q192" s="23">
        <v>1</v>
      </c>
      <c r="R192" s="27">
        <f>EDProj[[#This Row],[★ Judge]]+EDProj[[#This Row],[★ Alt Judge]]+EDProj[[#This Row],[★ Clerks]]</f>
        <v>7</v>
      </c>
      <c r="S192" s="28">
        <v>750</v>
      </c>
      <c r="T192" s="23">
        <f>EDProj[[#This Row],[★ Ballot Cards]]/250</f>
        <v>3</v>
      </c>
      <c r="U192" s="38">
        <f>EDProj[[#This Row],[★ Soft Case (ADA) Voting Machines]]+EDProj[[#This Row],[Old EPB Allocation]]</f>
        <v>5</v>
      </c>
      <c r="V192" s="38">
        <f>EDProj[[#This Row],[Tables Needed]]</f>
        <v>5</v>
      </c>
      <c r="W192" s="27">
        <v>3</v>
      </c>
      <c r="X192" s="27">
        <v>10</v>
      </c>
      <c r="Y192" s="23">
        <f>ROUNDUP(IF(EDProj[[#This Row],[Tables Needed]]-EDProj[[#This Row],[Tables Provided by the Vote Center]]&lt;0,0,EDProj[[#This Row],[Tables Needed]]-EDProj[[#This Row],[Tables Provided by the Vote Center]]),0)</f>
        <v>2</v>
      </c>
      <c r="Z192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193" spans="1:26" ht="13.9">
      <c r="A193" s="23" t="s">
        <v>294</v>
      </c>
      <c r="B193" s="24" t="s">
        <v>295</v>
      </c>
      <c r="C193" s="73" t="s">
        <v>588</v>
      </c>
      <c r="D193" s="25" t="s">
        <v>647</v>
      </c>
      <c r="E193" s="26" t="s">
        <v>648</v>
      </c>
      <c r="F193" s="92">
        <v>316</v>
      </c>
      <c r="G193" s="27">
        <v>4</v>
      </c>
      <c r="H193" s="27">
        <v>4</v>
      </c>
      <c r="I193" s="27">
        <v>4</v>
      </c>
      <c r="J193" s="27">
        <v>1</v>
      </c>
      <c r="K193" s="27">
        <v>0</v>
      </c>
      <c r="L193" s="27">
        <v>0</v>
      </c>
      <c r="M193" s="23">
        <f>SUM(EDProj[[#This Row],[★ Hard Case Voting Machines]:[★ Curbside (Rollie) Voting Machine]])</f>
        <v>5</v>
      </c>
      <c r="N193" s="23">
        <v>1</v>
      </c>
      <c r="O193" s="27">
        <v>5</v>
      </c>
      <c r="P193" s="27">
        <v>1</v>
      </c>
      <c r="Q193" s="23">
        <v>1</v>
      </c>
      <c r="R193" s="27">
        <f>EDProj[[#This Row],[★ Judge]]+EDProj[[#This Row],[★ Alt Judge]]+EDProj[[#This Row],[★ Clerks]]</f>
        <v>7</v>
      </c>
      <c r="S193" s="28">
        <v>750</v>
      </c>
      <c r="T193" s="23">
        <f>EDProj[[#This Row],[★ Ballot Cards]]/250</f>
        <v>3</v>
      </c>
      <c r="U193" s="38">
        <f>EDProj[[#This Row],[★ Soft Case (ADA) Voting Machines]]+EDProj[[#This Row],[Old EPB Allocation]]</f>
        <v>5</v>
      </c>
      <c r="V193" s="38">
        <f>EDProj[[#This Row],[Tables Needed]]</f>
        <v>5</v>
      </c>
      <c r="W193" s="27">
        <v>3</v>
      </c>
      <c r="X193" s="27">
        <v>10</v>
      </c>
      <c r="Y193" s="23">
        <f>ROUNDUP(IF(EDProj[[#This Row],[Tables Needed]]-EDProj[[#This Row],[Tables Provided by the Vote Center]]&lt;0,0,EDProj[[#This Row],[Tables Needed]]-EDProj[[#This Row],[Tables Provided by the Vote Center]]),0)</f>
        <v>2</v>
      </c>
      <c r="Z193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194" spans="1:26" ht="13.9">
      <c r="A194" s="23" t="s">
        <v>294</v>
      </c>
      <c r="B194" s="24" t="s">
        <v>295</v>
      </c>
      <c r="C194" s="73" t="s">
        <v>588</v>
      </c>
      <c r="D194" s="25" t="s">
        <v>649</v>
      </c>
      <c r="E194" s="26" t="s">
        <v>650</v>
      </c>
      <c r="F194" s="92">
        <v>800</v>
      </c>
      <c r="G194" s="27">
        <v>4</v>
      </c>
      <c r="H194" s="27">
        <v>4</v>
      </c>
      <c r="I194" s="27">
        <v>11</v>
      </c>
      <c r="J194" s="27">
        <v>1</v>
      </c>
      <c r="K194" s="27">
        <v>0</v>
      </c>
      <c r="L194" s="27">
        <v>0</v>
      </c>
      <c r="M194" s="23">
        <f>SUM(EDProj[[#This Row],[★ Hard Case Voting Machines]:[★ Curbside (Rollie) Voting Machine]])</f>
        <v>12</v>
      </c>
      <c r="N194" s="23">
        <v>1</v>
      </c>
      <c r="O194" s="27">
        <v>6</v>
      </c>
      <c r="P194" s="27">
        <v>1</v>
      </c>
      <c r="Q194" s="23">
        <v>1</v>
      </c>
      <c r="R194" s="27">
        <f>EDProj[[#This Row],[★ Judge]]+EDProj[[#This Row],[★ Alt Judge]]+EDProj[[#This Row],[★ Clerks]]</f>
        <v>8</v>
      </c>
      <c r="S194" s="28">
        <v>1500</v>
      </c>
      <c r="T194" s="23">
        <f>EDProj[[#This Row],[★ Ballot Cards]]/250</f>
        <v>6</v>
      </c>
      <c r="U194" s="38">
        <f>EDProj[[#This Row],[★ Soft Case (ADA) Voting Machines]]+EDProj[[#This Row],[Old EPB Allocation]]</f>
        <v>5</v>
      </c>
      <c r="V194" s="38">
        <f>EDProj[[#This Row],[Tables Needed]]</f>
        <v>5</v>
      </c>
      <c r="W194" s="27">
        <v>0</v>
      </c>
      <c r="X194" s="27">
        <v>0</v>
      </c>
      <c r="Y194" s="23">
        <f>ROUNDUP(IF(EDProj[[#This Row],[Tables Needed]]-EDProj[[#This Row],[Tables Provided by the Vote Center]]&lt;0,0,EDProj[[#This Row],[Tables Needed]]-EDProj[[#This Row],[Tables Provided by the Vote Center]]),0)</f>
        <v>5</v>
      </c>
      <c r="Z194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195" spans="1:26" ht="13.9">
      <c r="A195" s="23" t="s">
        <v>294</v>
      </c>
      <c r="B195" s="24" t="s">
        <v>295</v>
      </c>
      <c r="C195" s="73" t="s">
        <v>588</v>
      </c>
      <c r="D195" s="25" t="s">
        <v>651</v>
      </c>
      <c r="E195" s="26" t="s">
        <v>652</v>
      </c>
      <c r="F195" s="92">
        <v>744</v>
      </c>
      <c r="G195" s="27">
        <v>4</v>
      </c>
      <c r="H195" s="27">
        <v>4</v>
      </c>
      <c r="I195" s="27">
        <v>9</v>
      </c>
      <c r="J195" s="27">
        <v>1</v>
      </c>
      <c r="K195" s="27">
        <v>0</v>
      </c>
      <c r="L195" s="27">
        <v>0</v>
      </c>
      <c r="M195" s="23">
        <f>SUM(EDProj[[#This Row],[★ Hard Case Voting Machines]:[★ Curbside (Rollie) Voting Machine]])</f>
        <v>10</v>
      </c>
      <c r="N195" s="23">
        <v>1</v>
      </c>
      <c r="O195" s="27">
        <v>6</v>
      </c>
      <c r="P195" s="27">
        <v>1</v>
      </c>
      <c r="Q195" s="23">
        <v>1</v>
      </c>
      <c r="R195" s="27">
        <f>EDProj[[#This Row],[★ Judge]]+EDProj[[#This Row],[★ Alt Judge]]+EDProj[[#This Row],[★ Clerks]]</f>
        <v>8</v>
      </c>
      <c r="S195" s="28">
        <v>1250</v>
      </c>
      <c r="T195" s="23">
        <f>EDProj[[#This Row],[★ Ballot Cards]]/250</f>
        <v>5</v>
      </c>
      <c r="U195" s="38">
        <f>EDProj[[#This Row],[★ Soft Case (ADA) Voting Machines]]+EDProj[[#This Row],[Old EPB Allocation]]</f>
        <v>5</v>
      </c>
      <c r="V195" s="38">
        <f>EDProj[[#This Row],[Tables Needed]]</f>
        <v>5</v>
      </c>
      <c r="W195" s="27">
        <v>0</v>
      </c>
      <c r="X195" s="27">
        <v>0</v>
      </c>
      <c r="Y195" s="23">
        <f>ROUNDUP(IF(EDProj[[#This Row],[Tables Needed]]-EDProj[[#This Row],[Tables Provided by the Vote Center]]&lt;0,0,EDProj[[#This Row],[Tables Needed]]-EDProj[[#This Row],[Tables Provided by the Vote Center]]),0)</f>
        <v>5</v>
      </c>
      <c r="Z195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196" spans="1:26" ht="13.9">
      <c r="A196" s="34" t="s">
        <v>113</v>
      </c>
      <c r="B196" s="84" t="s">
        <v>78</v>
      </c>
      <c r="C196" s="73" t="s">
        <v>588</v>
      </c>
      <c r="D196" s="36" t="s">
        <v>82</v>
      </c>
      <c r="E196" s="37" t="s">
        <v>79</v>
      </c>
      <c r="F196" s="94">
        <v>1762</v>
      </c>
      <c r="G196" s="38">
        <v>6</v>
      </c>
      <c r="H196" s="38">
        <v>10</v>
      </c>
      <c r="I196" s="38">
        <v>23</v>
      </c>
      <c r="J196" s="38">
        <v>1</v>
      </c>
      <c r="K196" s="38">
        <v>2</v>
      </c>
      <c r="L196" s="27">
        <v>1</v>
      </c>
      <c r="M196" s="27">
        <f>SUM(EDProj[[#This Row],[★ Hard Case Voting Machines]:[★ Curbside (Rollie) Voting Machine]])</f>
        <v>27</v>
      </c>
      <c r="N196" s="34">
        <v>1</v>
      </c>
      <c r="O196" s="38">
        <v>15</v>
      </c>
      <c r="P196" s="34">
        <v>1</v>
      </c>
      <c r="Q196" s="34">
        <v>1</v>
      </c>
      <c r="R196" s="38">
        <f>EDProj[[#This Row],[★ Judge]]+EDProj[[#This Row],[★ Alt Judge]]+EDProj[[#This Row],[★ Clerks]]</f>
        <v>17</v>
      </c>
      <c r="S196" s="39">
        <v>3000</v>
      </c>
      <c r="T196" s="34">
        <f>EDProj[[#This Row],[★ Ballot Cards]]/250</f>
        <v>12</v>
      </c>
      <c r="U196" s="38">
        <f>EDProj[[#This Row],[★ Soft Case (ADA) Voting Machines]]+EDProj[[#This Row],[Old EPB Allocation]]</f>
        <v>7</v>
      </c>
      <c r="V196" s="38">
        <f>EDProj[[#This Row],[Tables Needed]]</f>
        <v>7</v>
      </c>
      <c r="W196" s="38">
        <v>0</v>
      </c>
      <c r="X196" s="38">
        <v>50</v>
      </c>
      <c r="Y196" s="34">
        <f>ROUNDUP(IF(EDProj[[#This Row],[Tables Needed]]-EDProj[[#This Row],[Tables Provided by the Vote Center]]&lt;0,0,EDProj[[#This Row],[Tables Needed]]-EDProj[[#This Row],[Tables Provided by the Vote Center]]),0)</f>
        <v>7</v>
      </c>
      <c r="Z196" s="34">
        <f>ROUNDUP(IF(EDProj[[#This Row],[Chairs Needed]]-EDProj[[#This Row],[Chairs Provided by the Vote Center]]&lt;0,0,EDProj[[#This Row],[Chairs Needed]]-EDProj[[#This Row],[Chairs Provided by the Vote Center]]),0)</f>
        <v>0</v>
      </c>
    </row>
    <row r="197" spans="1:26" ht="13.9">
      <c r="A197" s="23" t="s">
        <v>294</v>
      </c>
      <c r="B197" s="24" t="s">
        <v>295</v>
      </c>
      <c r="C197" s="73" t="s">
        <v>588</v>
      </c>
      <c r="D197" s="25" t="s">
        <v>653</v>
      </c>
      <c r="E197" s="26" t="s">
        <v>654</v>
      </c>
      <c r="F197" s="92">
        <v>692</v>
      </c>
      <c r="G197" s="27">
        <v>4</v>
      </c>
      <c r="H197" s="27">
        <v>4</v>
      </c>
      <c r="I197" s="27">
        <v>10</v>
      </c>
      <c r="J197" s="27">
        <v>1</v>
      </c>
      <c r="K197" s="27">
        <v>0</v>
      </c>
      <c r="L197" s="27">
        <v>0</v>
      </c>
      <c r="M197" s="23">
        <f>SUM(EDProj[[#This Row],[★ Hard Case Voting Machines]:[★ Curbside (Rollie) Voting Machine]])</f>
        <v>11</v>
      </c>
      <c r="N197" s="23">
        <v>1</v>
      </c>
      <c r="O197" s="27">
        <v>6</v>
      </c>
      <c r="P197" s="27">
        <v>1</v>
      </c>
      <c r="Q197" s="23">
        <v>1</v>
      </c>
      <c r="R197" s="27">
        <f>EDProj[[#This Row],[★ Judge]]+EDProj[[#This Row],[★ Alt Judge]]+EDProj[[#This Row],[★ Clerks]]</f>
        <v>8</v>
      </c>
      <c r="S197" s="28">
        <v>1250</v>
      </c>
      <c r="T197" s="23">
        <f>EDProj[[#This Row],[★ Ballot Cards]]/250</f>
        <v>5</v>
      </c>
      <c r="U197" s="38">
        <f>EDProj[[#This Row],[★ Soft Case (ADA) Voting Machines]]+EDProj[[#This Row],[Old EPB Allocation]]</f>
        <v>5</v>
      </c>
      <c r="V197" s="38">
        <f>EDProj[[#This Row],[Tables Needed]]</f>
        <v>5</v>
      </c>
      <c r="W197" s="27">
        <v>0</v>
      </c>
      <c r="X197" s="27">
        <v>0</v>
      </c>
      <c r="Y197" s="23">
        <f>ROUNDUP(IF(EDProj[[#This Row],[Tables Needed]]-EDProj[[#This Row],[Tables Provided by the Vote Center]]&lt;0,0,EDProj[[#This Row],[Tables Needed]]-EDProj[[#This Row],[Tables Provided by the Vote Center]]),0)</f>
        <v>5</v>
      </c>
      <c r="Z197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198" spans="1:26" ht="13.9">
      <c r="A198" s="23" t="s">
        <v>294</v>
      </c>
      <c r="B198" s="24" t="s">
        <v>295</v>
      </c>
      <c r="C198" s="73" t="s">
        <v>588</v>
      </c>
      <c r="D198" s="25" t="s">
        <v>655</v>
      </c>
      <c r="E198" s="26" t="s">
        <v>656</v>
      </c>
      <c r="F198" s="92">
        <v>763</v>
      </c>
      <c r="G198" s="27">
        <v>4</v>
      </c>
      <c r="H198" s="27">
        <v>4</v>
      </c>
      <c r="I198" s="27">
        <v>11</v>
      </c>
      <c r="J198" s="27">
        <v>1</v>
      </c>
      <c r="K198" s="27">
        <v>0</v>
      </c>
      <c r="L198" s="27">
        <v>0</v>
      </c>
      <c r="M198" s="23">
        <f>SUM(EDProj[[#This Row],[★ Hard Case Voting Machines]:[★ Curbside (Rollie) Voting Machine]])</f>
        <v>12</v>
      </c>
      <c r="N198" s="23">
        <v>1</v>
      </c>
      <c r="O198" s="27">
        <v>7</v>
      </c>
      <c r="P198" s="27">
        <v>1</v>
      </c>
      <c r="Q198" s="23">
        <v>1</v>
      </c>
      <c r="R198" s="27">
        <f>EDProj[[#This Row],[★ Judge]]+EDProj[[#This Row],[★ Alt Judge]]+EDProj[[#This Row],[★ Clerks]]</f>
        <v>9</v>
      </c>
      <c r="S198" s="28">
        <v>1250</v>
      </c>
      <c r="T198" s="23">
        <f>EDProj[[#This Row],[★ Ballot Cards]]/250</f>
        <v>5</v>
      </c>
      <c r="U198" s="38">
        <f>EDProj[[#This Row],[★ Soft Case (ADA) Voting Machines]]+EDProj[[#This Row],[Old EPB Allocation]]</f>
        <v>5</v>
      </c>
      <c r="V198" s="38">
        <f>EDProj[[#This Row],[Tables Needed]]</f>
        <v>5</v>
      </c>
      <c r="W198" s="27">
        <v>0</v>
      </c>
      <c r="X198" s="27">
        <v>0</v>
      </c>
      <c r="Y198" s="23">
        <f>ROUNDUP(IF(EDProj[[#This Row],[Tables Needed]]-EDProj[[#This Row],[Tables Provided by the Vote Center]]&lt;0,0,EDProj[[#This Row],[Tables Needed]]-EDProj[[#This Row],[Tables Provided by the Vote Center]]),0)</f>
        <v>5</v>
      </c>
      <c r="Z198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199" spans="1:26" ht="13.9">
      <c r="A199" s="23" t="s">
        <v>294</v>
      </c>
      <c r="B199" s="24" t="s">
        <v>295</v>
      </c>
      <c r="C199" s="73" t="s">
        <v>588</v>
      </c>
      <c r="D199" s="25" t="s">
        <v>657</v>
      </c>
      <c r="E199" s="26" t="s">
        <v>658</v>
      </c>
      <c r="F199" s="92">
        <v>741</v>
      </c>
      <c r="G199" s="27">
        <v>4</v>
      </c>
      <c r="H199" s="27">
        <v>4</v>
      </c>
      <c r="I199" s="27">
        <v>10</v>
      </c>
      <c r="J199" s="27">
        <v>1</v>
      </c>
      <c r="K199" s="27">
        <v>0</v>
      </c>
      <c r="L199" s="27">
        <v>0</v>
      </c>
      <c r="M199" s="23">
        <f>SUM(EDProj[[#This Row],[★ Hard Case Voting Machines]:[★ Curbside (Rollie) Voting Machine]])</f>
        <v>11</v>
      </c>
      <c r="N199" s="23">
        <v>1</v>
      </c>
      <c r="O199" s="27">
        <v>6</v>
      </c>
      <c r="P199" s="27">
        <v>1</v>
      </c>
      <c r="Q199" s="23">
        <v>1</v>
      </c>
      <c r="R199" s="27">
        <f>EDProj[[#This Row],[★ Judge]]+EDProj[[#This Row],[★ Alt Judge]]+EDProj[[#This Row],[★ Clerks]]</f>
        <v>8</v>
      </c>
      <c r="S199" s="28">
        <v>1250</v>
      </c>
      <c r="T199" s="23">
        <f>EDProj[[#This Row],[★ Ballot Cards]]/250</f>
        <v>5</v>
      </c>
      <c r="U199" s="38">
        <f>EDProj[[#This Row],[★ Soft Case (ADA) Voting Machines]]+EDProj[[#This Row],[Old EPB Allocation]]</f>
        <v>5</v>
      </c>
      <c r="V199" s="38">
        <f>EDProj[[#This Row],[Tables Needed]]</f>
        <v>5</v>
      </c>
      <c r="W199" s="27">
        <v>0</v>
      </c>
      <c r="X199" s="27">
        <v>0</v>
      </c>
      <c r="Y199" s="23">
        <f>ROUNDUP(IF(EDProj[[#This Row],[Tables Needed]]-EDProj[[#This Row],[Tables Provided by the Vote Center]]&lt;0,0,EDProj[[#This Row],[Tables Needed]]-EDProj[[#This Row],[Tables Provided by the Vote Center]]),0)</f>
        <v>5</v>
      </c>
      <c r="Z199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200" spans="1:26" ht="13.9">
      <c r="A200" s="23" t="s">
        <v>113</v>
      </c>
      <c r="B200" s="24" t="s">
        <v>280</v>
      </c>
      <c r="C200" s="73" t="s">
        <v>588</v>
      </c>
      <c r="D200" s="25" t="s">
        <v>279</v>
      </c>
      <c r="E200" s="26" t="s">
        <v>281</v>
      </c>
      <c r="F200" s="92">
        <v>2254</v>
      </c>
      <c r="G200" s="27">
        <v>5.3333333333333339</v>
      </c>
      <c r="H200" s="27">
        <v>6</v>
      </c>
      <c r="I200" s="27">
        <v>17</v>
      </c>
      <c r="J200" s="27">
        <v>1</v>
      </c>
      <c r="K200" s="27">
        <v>2</v>
      </c>
      <c r="L200" s="27">
        <v>0</v>
      </c>
      <c r="M200" s="23">
        <f>SUM(EDProj[[#This Row],[★ Hard Case Voting Machines]:[★ Curbside (Rollie) Voting Machine]])</f>
        <v>20</v>
      </c>
      <c r="N200" s="23">
        <v>1</v>
      </c>
      <c r="O200" s="27">
        <v>10</v>
      </c>
      <c r="P200" s="27">
        <v>1</v>
      </c>
      <c r="Q200" s="23">
        <v>1</v>
      </c>
      <c r="R200" s="27">
        <f>EDProj[[#This Row],[★ Judge]]+EDProj[[#This Row],[★ Alt Judge]]+EDProj[[#This Row],[★ Clerks]]</f>
        <v>12</v>
      </c>
      <c r="S200" s="28">
        <v>2750</v>
      </c>
      <c r="T200" s="23">
        <f>EDProj[[#This Row],[★ Ballot Cards]]/250</f>
        <v>11</v>
      </c>
      <c r="U200" s="38">
        <f>EDProj[[#This Row],[★ Soft Case (ADA) Voting Machines]]+EDProj[[#This Row],[Old EPB Allocation]]</f>
        <v>6.3333333333333339</v>
      </c>
      <c r="V200" s="38">
        <f>EDProj[[#This Row],[Tables Needed]]</f>
        <v>6.3333333333333339</v>
      </c>
      <c r="W200" s="27">
        <v>12</v>
      </c>
      <c r="X200" s="27">
        <v>46</v>
      </c>
      <c r="Y200" s="23">
        <f>ROUNDUP(IF(EDProj[[#This Row],[Tables Needed]]-EDProj[[#This Row],[Tables Provided by the Vote Center]]&lt;0,0,EDProj[[#This Row],[Tables Needed]]-EDProj[[#This Row],[Tables Provided by the Vote Center]]),0)</f>
        <v>0</v>
      </c>
      <c r="Z200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201" spans="1:26" ht="13.9">
      <c r="A201" s="23" t="s">
        <v>294</v>
      </c>
      <c r="B201" s="24" t="s">
        <v>295</v>
      </c>
      <c r="C201" s="73" t="s">
        <v>588</v>
      </c>
      <c r="D201" s="25" t="s">
        <v>659</v>
      </c>
      <c r="E201" s="26" t="s">
        <v>660</v>
      </c>
      <c r="F201" s="92">
        <v>425</v>
      </c>
      <c r="G201" s="27">
        <v>4</v>
      </c>
      <c r="H201" s="27">
        <v>4</v>
      </c>
      <c r="I201" s="27">
        <v>7</v>
      </c>
      <c r="J201" s="27">
        <v>1</v>
      </c>
      <c r="K201" s="27">
        <v>0</v>
      </c>
      <c r="L201" s="27">
        <v>0</v>
      </c>
      <c r="M201" s="23">
        <f>SUM(EDProj[[#This Row],[★ Hard Case Voting Machines]:[★ Curbside (Rollie) Voting Machine]])</f>
        <v>8</v>
      </c>
      <c r="N201" s="23">
        <v>1</v>
      </c>
      <c r="O201" s="27">
        <v>5</v>
      </c>
      <c r="P201" s="27">
        <v>1</v>
      </c>
      <c r="Q201" s="23">
        <v>1</v>
      </c>
      <c r="R201" s="27">
        <f>EDProj[[#This Row],[★ Judge]]+EDProj[[#This Row],[★ Alt Judge]]+EDProj[[#This Row],[★ Clerks]]</f>
        <v>7</v>
      </c>
      <c r="S201" s="28">
        <v>750</v>
      </c>
      <c r="T201" s="23">
        <f>EDProj[[#This Row],[★ Ballot Cards]]/250</f>
        <v>3</v>
      </c>
      <c r="U201" s="38">
        <f>EDProj[[#This Row],[★ Soft Case (ADA) Voting Machines]]+EDProj[[#This Row],[Old EPB Allocation]]</f>
        <v>5</v>
      </c>
      <c r="V201" s="38">
        <f>EDProj[[#This Row],[Tables Needed]]</f>
        <v>5</v>
      </c>
      <c r="W201" s="27">
        <v>0</v>
      </c>
      <c r="X201" s="27">
        <v>0</v>
      </c>
      <c r="Y201" s="23">
        <f>ROUNDUP(IF(EDProj[[#This Row],[Tables Needed]]-EDProj[[#This Row],[Tables Provided by the Vote Center]]&lt;0,0,EDProj[[#This Row],[Tables Needed]]-EDProj[[#This Row],[Tables Provided by the Vote Center]]),0)</f>
        <v>5</v>
      </c>
      <c r="Z201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202" spans="1:26" ht="13.9">
      <c r="A202" s="23" t="s">
        <v>294</v>
      </c>
      <c r="B202" s="24" t="s">
        <v>295</v>
      </c>
      <c r="C202" s="73" t="s">
        <v>588</v>
      </c>
      <c r="D202" s="25" t="s">
        <v>661</v>
      </c>
      <c r="E202" s="26" t="s">
        <v>662</v>
      </c>
      <c r="F202" s="92">
        <v>295</v>
      </c>
      <c r="G202" s="27">
        <v>4</v>
      </c>
      <c r="H202" s="27">
        <v>4</v>
      </c>
      <c r="I202" s="27">
        <v>4</v>
      </c>
      <c r="J202" s="27">
        <v>1</v>
      </c>
      <c r="K202" s="27">
        <v>0</v>
      </c>
      <c r="L202" s="27">
        <v>0</v>
      </c>
      <c r="M202" s="23">
        <f>SUM(EDProj[[#This Row],[★ Hard Case Voting Machines]:[★ Curbside (Rollie) Voting Machine]])</f>
        <v>5</v>
      </c>
      <c r="N202" s="23">
        <v>1</v>
      </c>
      <c r="O202" s="27">
        <v>5</v>
      </c>
      <c r="P202" s="27">
        <v>1</v>
      </c>
      <c r="Q202" s="23">
        <v>1</v>
      </c>
      <c r="R202" s="27">
        <f>EDProj[[#This Row],[★ Judge]]+EDProj[[#This Row],[★ Alt Judge]]+EDProj[[#This Row],[★ Clerks]]</f>
        <v>7</v>
      </c>
      <c r="S202" s="28">
        <v>500</v>
      </c>
      <c r="T202" s="23">
        <f>EDProj[[#This Row],[★ Ballot Cards]]/250</f>
        <v>2</v>
      </c>
      <c r="U202" s="38">
        <f>EDProj[[#This Row],[★ Soft Case (ADA) Voting Machines]]+EDProj[[#This Row],[Old EPB Allocation]]</f>
        <v>5</v>
      </c>
      <c r="V202" s="38">
        <f>EDProj[[#This Row],[Tables Needed]]</f>
        <v>5</v>
      </c>
      <c r="W202" s="27">
        <v>8</v>
      </c>
      <c r="X202" s="27">
        <v>16</v>
      </c>
      <c r="Y202" s="23">
        <f>ROUNDUP(IF(EDProj[[#This Row],[Tables Needed]]-EDProj[[#This Row],[Tables Provided by the Vote Center]]&lt;0,0,EDProj[[#This Row],[Tables Needed]]-EDProj[[#This Row],[Tables Provided by the Vote Center]]),0)</f>
        <v>0</v>
      </c>
      <c r="Z202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203" spans="1:26" ht="13.9">
      <c r="A203" s="23" t="s">
        <v>294</v>
      </c>
      <c r="B203" s="24" t="s">
        <v>295</v>
      </c>
      <c r="C203" s="73" t="s">
        <v>588</v>
      </c>
      <c r="D203" s="25" t="s">
        <v>663</v>
      </c>
      <c r="E203" s="26" t="s">
        <v>664</v>
      </c>
      <c r="F203" s="92">
        <v>483</v>
      </c>
      <c r="G203" s="27">
        <v>4</v>
      </c>
      <c r="H203" s="27">
        <v>4</v>
      </c>
      <c r="I203" s="27">
        <v>7</v>
      </c>
      <c r="J203" s="27">
        <v>1</v>
      </c>
      <c r="K203" s="27">
        <v>0</v>
      </c>
      <c r="L203" s="27">
        <v>0</v>
      </c>
      <c r="M203" s="23">
        <f>SUM(EDProj[[#This Row],[★ Hard Case Voting Machines]:[★ Curbside (Rollie) Voting Machine]])</f>
        <v>8</v>
      </c>
      <c r="N203" s="23">
        <v>1</v>
      </c>
      <c r="O203" s="27">
        <v>5</v>
      </c>
      <c r="P203" s="27">
        <v>1</v>
      </c>
      <c r="Q203" s="23">
        <v>1</v>
      </c>
      <c r="R203" s="27">
        <f>EDProj[[#This Row],[★ Judge]]+EDProj[[#This Row],[★ Alt Judge]]+EDProj[[#This Row],[★ Clerks]]</f>
        <v>7</v>
      </c>
      <c r="S203" s="28">
        <v>1000</v>
      </c>
      <c r="T203" s="23">
        <f>EDProj[[#This Row],[★ Ballot Cards]]/250</f>
        <v>4</v>
      </c>
      <c r="U203" s="38">
        <f>EDProj[[#This Row],[★ Soft Case (ADA) Voting Machines]]+EDProj[[#This Row],[Old EPB Allocation]]</f>
        <v>5</v>
      </c>
      <c r="V203" s="38">
        <f>EDProj[[#This Row],[Tables Needed]]</f>
        <v>5</v>
      </c>
      <c r="W203" s="27">
        <v>4</v>
      </c>
      <c r="X203" s="27">
        <v>30</v>
      </c>
      <c r="Y203" s="23">
        <f>ROUNDUP(IF(EDProj[[#This Row],[Tables Needed]]-EDProj[[#This Row],[Tables Provided by the Vote Center]]&lt;0,0,EDProj[[#This Row],[Tables Needed]]-EDProj[[#This Row],[Tables Provided by the Vote Center]]),0)</f>
        <v>1</v>
      </c>
      <c r="Z203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204" spans="1:26" ht="13.9">
      <c r="A204" s="23" t="s">
        <v>294</v>
      </c>
      <c r="B204" s="24" t="s">
        <v>295</v>
      </c>
      <c r="C204" s="73" t="s">
        <v>588</v>
      </c>
      <c r="D204" s="25" t="s">
        <v>665</v>
      </c>
      <c r="E204" s="26" t="s">
        <v>666</v>
      </c>
      <c r="F204" s="92">
        <v>240</v>
      </c>
      <c r="G204" s="27">
        <v>4</v>
      </c>
      <c r="H204" s="27">
        <v>4</v>
      </c>
      <c r="I204" s="27">
        <v>3</v>
      </c>
      <c r="J204" s="27">
        <v>1</v>
      </c>
      <c r="K204" s="27">
        <v>0</v>
      </c>
      <c r="L204" s="27">
        <v>0</v>
      </c>
      <c r="M204" s="23">
        <f>SUM(EDProj[[#This Row],[★ Hard Case Voting Machines]:[★ Curbside (Rollie) Voting Machine]])</f>
        <v>4</v>
      </c>
      <c r="N204" s="23">
        <v>1</v>
      </c>
      <c r="O204" s="27">
        <v>4</v>
      </c>
      <c r="P204" s="27">
        <v>1</v>
      </c>
      <c r="Q204" s="23">
        <v>1</v>
      </c>
      <c r="R204" s="27">
        <f>EDProj[[#This Row],[★ Judge]]+EDProj[[#This Row],[★ Alt Judge]]+EDProj[[#This Row],[★ Clerks]]</f>
        <v>6</v>
      </c>
      <c r="S204" s="28">
        <v>500</v>
      </c>
      <c r="T204" s="23">
        <f>EDProj[[#This Row],[★ Ballot Cards]]/250</f>
        <v>2</v>
      </c>
      <c r="U204" s="38">
        <f>EDProj[[#This Row],[★ Soft Case (ADA) Voting Machines]]+EDProj[[#This Row],[Old EPB Allocation]]</f>
        <v>5</v>
      </c>
      <c r="V204" s="38">
        <f>EDProj[[#This Row],[Tables Needed]]</f>
        <v>5</v>
      </c>
      <c r="W204" s="27">
        <v>0</v>
      </c>
      <c r="X204" s="27">
        <v>0</v>
      </c>
      <c r="Y204" s="23">
        <f>ROUNDUP(IF(EDProj[[#This Row],[Tables Needed]]-EDProj[[#This Row],[Tables Provided by the Vote Center]]&lt;0,0,EDProj[[#This Row],[Tables Needed]]-EDProj[[#This Row],[Tables Provided by the Vote Center]]),0)</f>
        <v>5</v>
      </c>
      <c r="Z204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205" spans="1:26" ht="13.9">
      <c r="A205" s="23" t="s">
        <v>294</v>
      </c>
      <c r="B205" s="24" t="s">
        <v>295</v>
      </c>
      <c r="C205" s="73" t="s">
        <v>588</v>
      </c>
      <c r="D205" s="25" t="s">
        <v>667</v>
      </c>
      <c r="E205" s="26" t="s">
        <v>668</v>
      </c>
      <c r="F205" s="92">
        <v>227</v>
      </c>
      <c r="G205" s="27">
        <v>4</v>
      </c>
      <c r="H205" s="27">
        <v>4</v>
      </c>
      <c r="I205" s="27">
        <v>4</v>
      </c>
      <c r="J205" s="27">
        <v>1</v>
      </c>
      <c r="K205" s="27">
        <v>0</v>
      </c>
      <c r="L205" s="27">
        <v>0</v>
      </c>
      <c r="M205" s="23">
        <f>SUM(EDProj[[#This Row],[★ Hard Case Voting Machines]:[★ Curbside (Rollie) Voting Machine]])</f>
        <v>5</v>
      </c>
      <c r="N205" s="23">
        <v>1</v>
      </c>
      <c r="O205" s="27">
        <v>5</v>
      </c>
      <c r="P205" s="27">
        <v>1</v>
      </c>
      <c r="Q205" s="23">
        <v>1</v>
      </c>
      <c r="R205" s="27">
        <f>EDProj[[#This Row],[★ Judge]]+EDProj[[#This Row],[★ Alt Judge]]+EDProj[[#This Row],[★ Clerks]]</f>
        <v>7</v>
      </c>
      <c r="S205" s="28">
        <v>500</v>
      </c>
      <c r="T205" s="23">
        <f>EDProj[[#This Row],[★ Ballot Cards]]/250</f>
        <v>2</v>
      </c>
      <c r="U205" s="38">
        <f>EDProj[[#This Row],[★ Soft Case (ADA) Voting Machines]]+EDProj[[#This Row],[Old EPB Allocation]]</f>
        <v>5</v>
      </c>
      <c r="V205" s="38">
        <f>EDProj[[#This Row],[Tables Needed]]</f>
        <v>5</v>
      </c>
      <c r="W205" s="27">
        <v>0</v>
      </c>
      <c r="X205" s="27">
        <v>0</v>
      </c>
      <c r="Y205" s="23">
        <f>ROUNDUP(IF(EDProj[[#This Row],[Tables Needed]]-EDProj[[#This Row],[Tables Provided by the Vote Center]]&lt;0,0,EDProj[[#This Row],[Tables Needed]]-EDProj[[#This Row],[Tables Provided by the Vote Center]]),0)</f>
        <v>5</v>
      </c>
      <c r="Z205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206" spans="1:26" ht="13.9">
      <c r="A206" s="23" t="s">
        <v>294</v>
      </c>
      <c r="B206" s="24" t="s">
        <v>295</v>
      </c>
      <c r="C206" s="73" t="s">
        <v>588</v>
      </c>
      <c r="D206" s="25" t="s">
        <v>669</v>
      </c>
      <c r="E206" s="26" t="s">
        <v>670</v>
      </c>
      <c r="F206" s="92">
        <v>451</v>
      </c>
      <c r="G206" s="27">
        <v>4</v>
      </c>
      <c r="H206" s="27">
        <v>4</v>
      </c>
      <c r="I206" s="27">
        <v>7</v>
      </c>
      <c r="J206" s="27">
        <v>1</v>
      </c>
      <c r="K206" s="27">
        <v>0</v>
      </c>
      <c r="L206" s="27">
        <v>0</v>
      </c>
      <c r="M206" s="23">
        <f>SUM(EDProj[[#This Row],[★ Hard Case Voting Machines]:[★ Curbside (Rollie) Voting Machine]])</f>
        <v>8</v>
      </c>
      <c r="N206" s="23">
        <v>1</v>
      </c>
      <c r="O206" s="27">
        <v>6</v>
      </c>
      <c r="P206" s="27">
        <v>1</v>
      </c>
      <c r="Q206" s="23">
        <v>1</v>
      </c>
      <c r="R206" s="27">
        <f>EDProj[[#This Row],[★ Judge]]+EDProj[[#This Row],[★ Alt Judge]]+EDProj[[#This Row],[★ Clerks]]</f>
        <v>8</v>
      </c>
      <c r="S206" s="28">
        <v>750</v>
      </c>
      <c r="T206" s="23">
        <f>EDProj[[#This Row],[★ Ballot Cards]]/250</f>
        <v>3</v>
      </c>
      <c r="U206" s="38">
        <f>EDProj[[#This Row],[★ Soft Case (ADA) Voting Machines]]+EDProj[[#This Row],[Old EPB Allocation]]</f>
        <v>5</v>
      </c>
      <c r="V206" s="38">
        <f>EDProj[[#This Row],[Tables Needed]]</f>
        <v>5</v>
      </c>
      <c r="W206" s="27">
        <v>0</v>
      </c>
      <c r="X206" s="27">
        <v>0</v>
      </c>
      <c r="Y206" s="23">
        <f>ROUNDUP(IF(EDProj[[#This Row],[Tables Needed]]-EDProj[[#This Row],[Tables Provided by the Vote Center]]&lt;0,0,EDProj[[#This Row],[Tables Needed]]-EDProj[[#This Row],[Tables Provided by the Vote Center]]),0)</f>
        <v>5</v>
      </c>
      <c r="Z206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207" spans="1:26" ht="13.9">
      <c r="A207" s="23" t="s">
        <v>294</v>
      </c>
      <c r="B207" s="24" t="s">
        <v>295</v>
      </c>
      <c r="C207" s="73" t="s">
        <v>588</v>
      </c>
      <c r="D207" s="25" t="s">
        <v>671</v>
      </c>
      <c r="E207" s="26" t="s">
        <v>672</v>
      </c>
      <c r="F207" s="92">
        <v>371</v>
      </c>
      <c r="G207" s="27">
        <v>4</v>
      </c>
      <c r="H207" s="27">
        <v>4</v>
      </c>
      <c r="I207" s="27">
        <v>7</v>
      </c>
      <c r="J207" s="27">
        <v>1</v>
      </c>
      <c r="K207" s="27">
        <v>0</v>
      </c>
      <c r="L207" s="27">
        <v>0</v>
      </c>
      <c r="M207" s="23">
        <f>SUM(EDProj[[#This Row],[★ Hard Case Voting Machines]:[★ Curbside (Rollie) Voting Machine]])</f>
        <v>8</v>
      </c>
      <c r="N207" s="23">
        <v>1</v>
      </c>
      <c r="O207" s="27">
        <v>5</v>
      </c>
      <c r="P207" s="27">
        <v>1</v>
      </c>
      <c r="Q207" s="23">
        <v>1</v>
      </c>
      <c r="R207" s="27">
        <f>EDProj[[#This Row],[★ Judge]]+EDProj[[#This Row],[★ Alt Judge]]+EDProj[[#This Row],[★ Clerks]]</f>
        <v>7</v>
      </c>
      <c r="S207" s="28">
        <v>750</v>
      </c>
      <c r="T207" s="23">
        <f>EDProj[[#This Row],[★ Ballot Cards]]/250</f>
        <v>3</v>
      </c>
      <c r="U207" s="38">
        <f>EDProj[[#This Row],[★ Soft Case (ADA) Voting Machines]]+EDProj[[#This Row],[Old EPB Allocation]]</f>
        <v>5</v>
      </c>
      <c r="V207" s="38">
        <f>EDProj[[#This Row],[Tables Needed]]</f>
        <v>5</v>
      </c>
      <c r="W207" s="27">
        <v>4</v>
      </c>
      <c r="X207" s="27">
        <v>4</v>
      </c>
      <c r="Y207" s="23">
        <f>ROUNDUP(IF(EDProj[[#This Row],[Tables Needed]]-EDProj[[#This Row],[Tables Provided by the Vote Center]]&lt;0,0,EDProj[[#This Row],[Tables Needed]]-EDProj[[#This Row],[Tables Provided by the Vote Center]]),0)</f>
        <v>1</v>
      </c>
      <c r="Z207" s="23">
        <f>ROUNDUP(IF(EDProj[[#This Row],[Chairs Needed]]-EDProj[[#This Row],[Chairs Provided by the Vote Center]]&lt;0,0,EDProj[[#This Row],[Chairs Needed]]-EDProj[[#This Row],[Chairs Provided by the Vote Center]]),0)</f>
        <v>1</v>
      </c>
    </row>
    <row r="208" spans="1:26" ht="13.9">
      <c r="A208" s="23" t="s">
        <v>294</v>
      </c>
      <c r="B208" s="24" t="s">
        <v>295</v>
      </c>
      <c r="C208" s="73" t="s">
        <v>588</v>
      </c>
      <c r="D208" s="25" t="s">
        <v>673</v>
      </c>
      <c r="E208" s="26" t="s">
        <v>674</v>
      </c>
      <c r="F208" s="92">
        <v>585</v>
      </c>
      <c r="G208" s="27">
        <v>4</v>
      </c>
      <c r="H208" s="27">
        <v>4</v>
      </c>
      <c r="I208" s="27">
        <v>9</v>
      </c>
      <c r="J208" s="27">
        <v>1</v>
      </c>
      <c r="K208" s="27">
        <v>0</v>
      </c>
      <c r="L208" s="27">
        <v>0</v>
      </c>
      <c r="M208" s="23">
        <f>SUM(EDProj[[#This Row],[★ Hard Case Voting Machines]:[★ Curbside (Rollie) Voting Machine]])</f>
        <v>10</v>
      </c>
      <c r="N208" s="23">
        <v>1</v>
      </c>
      <c r="O208" s="27">
        <v>6</v>
      </c>
      <c r="P208" s="27">
        <v>1</v>
      </c>
      <c r="Q208" s="23">
        <v>1</v>
      </c>
      <c r="R208" s="27">
        <f>EDProj[[#This Row],[★ Judge]]+EDProj[[#This Row],[★ Alt Judge]]+EDProj[[#This Row],[★ Clerks]]</f>
        <v>8</v>
      </c>
      <c r="S208" s="28">
        <v>1000</v>
      </c>
      <c r="T208" s="23">
        <f>EDProj[[#This Row],[★ Ballot Cards]]/250</f>
        <v>4</v>
      </c>
      <c r="U208" s="38">
        <f>EDProj[[#This Row],[★ Soft Case (ADA) Voting Machines]]+EDProj[[#This Row],[Old EPB Allocation]]</f>
        <v>5</v>
      </c>
      <c r="V208" s="38">
        <f>EDProj[[#This Row],[Tables Needed]]</f>
        <v>5</v>
      </c>
      <c r="W208" s="27">
        <v>0</v>
      </c>
      <c r="X208" s="27">
        <v>0</v>
      </c>
      <c r="Y208" s="23">
        <f>ROUNDUP(IF(EDProj[[#This Row],[Tables Needed]]-EDProj[[#This Row],[Tables Provided by the Vote Center]]&lt;0,0,EDProj[[#This Row],[Tables Needed]]-EDProj[[#This Row],[Tables Provided by the Vote Center]]),0)</f>
        <v>5</v>
      </c>
      <c r="Z208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209" spans="1:26" ht="13.9">
      <c r="A209" s="23" t="s">
        <v>294</v>
      </c>
      <c r="B209" s="24" t="s">
        <v>295</v>
      </c>
      <c r="C209" s="73" t="s">
        <v>675</v>
      </c>
      <c r="D209" s="30" t="s">
        <v>676</v>
      </c>
      <c r="E209" s="82" t="s">
        <v>677</v>
      </c>
      <c r="F209" s="93">
        <v>523</v>
      </c>
      <c r="G209" s="27">
        <v>4</v>
      </c>
      <c r="H209" s="27">
        <v>4</v>
      </c>
      <c r="I209" s="27">
        <v>5</v>
      </c>
      <c r="J209" s="27">
        <v>1</v>
      </c>
      <c r="K209" s="27">
        <v>0</v>
      </c>
      <c r="L209" s="27">
        <v>0</v>
      </c>
      <c r="M209" s="23">
        <f>SUM(EDProj[[#This Row],[★ Hard Case Voting Machines]:[★ Curbside (Rollie) Voting Machine]])</f>
        <v>6</v>
      </c>
      <c r="N209" s="23">
        <v>1</v>
      </c>
      <c r="O209" s="27">
        <v>5</v>
      </c>
      <c r="P209" s="27">
        <v>1</v>
      </c>
      <c r="Q209" s="23">
        <v>1</v>
      </c>
      <c r="R209" s="27">
        <f>EDProj[[#This Row],[★ Judge]]+EDProj[[#This Row],[★ Alt Judge]]+EDProj[[#This Row],[★ Clerks]]</f>
        <v>7</v>
      </c>
      <c r="S209" s="28">
        <v>1000</v>
      </c>
      <c r="T209" s="23">
        <f>EDProj[[#This Row],[★ Ballot Cards]]/250</f>
        <v>4</v>
      </c>
      <c r="U209" s="38">
        <f>EDProj[[#This Row],[★ Soft Case (ADA) Voting Machines]]+EDProj[[#This Row],[Old EPB Allocation]]</f>
        <v>5</v>
      </c>
      <c r="V209" s="38">
        <f>EDProj[[#This Row],[Tables Needed]]</f>
        <v>5</v>
      </c>
      <c r="W209" s="27">
        <v>0</v>
      </c>
      <c r="X209" s="27">
        <v>0</v>
      </c>
      <c r="Y209" s="23">
        <f>ROUNDUP(IF(EDProj[[#This Row],[Tables Needed]]-EDProj[[#This Row],[Tables Provided by the Vote Center]]&lt;0,0,EDProj[[#This Row],[Tables Needed]]-EDProj[[#This Row],[Tables Provided by the Vote Center]]),0)</f>
        <v>5</v>
      </c>
      <c r="Z209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210" spans="1:26" ht="13.9">
      <c r="A210" s="23" t="s">
        <v>294</v>
      </c>
      <c r="B210" s="24" t="s">
        <v>295</v>
      </c>
      <c r="C210" s="73" t="s">
        <v>675</v>
      </c>
      <c r="D210" s="25" t="s">
        <v>678</v>
      </c>
      <c r="E210" s="26" t="s">
        <v>679</v>
      </c>
      <c r="F210" s="92">
        <v>201</v>
      </c>
      <c r="G210" s="27">
        <v>4</v>
      </c>
      <c r="H210" s="27">
        <v>4</v>
      </c>
      <c r="I210" s="27">
        <v>2</v>
      </c>
      <c r="J210" s="27">
        <v>1</v>
      </c>
      <c r="K210" s="27">
        <v>0</v>
      </c>
      <c r="L210" s="27">
        <v>1</v>
      </c>
      <c r="M210" s="23">
        <f>SUM(EDProj[[#This Row],[★ Hard Case Voting Machines]:[★ Curbside (Rollie) Voting Machine]])</f>
        <v>4</v>
      </c>
      <c r="N210" s="23">
        <v>1</v>
      </c>
      <c r="O210" s="27">
        <v>5</v>
      </c>
      <c r="P210" s="27">
        <v>1</v>
      </c>
      <c r="Q210" s="23">
        <v>1</v>
      </c>
      <c r="R210" s="27">
        <f>EDProj[[#This Row],[★ Judge]]+EDProj[[#This Row],[★ Alt Judge]]+EDProj[[#This Row],[★ Clerks]]</f>
        <v>7</v>
      </c>
      <c r="S210" s="28">
        <v>500</v>
      </c>
      <c r="T210" s="23">
        <f>EDProj[[#This Row],[★ Ballot Cards]]/250</f>
        <v>2</v>
      </c>
      <c r="U210" s="38">
        <f>EDProj[[#This Row],[★ Soft Case (ADA) Voting Machines]]+EDProj[[#This Row],[Old EPB Allocation]]</f>
        <v>5</v>
      </c>
      <c r="V210" s="38">
        <f>EDProj[[#This Row],[Tables Needed]]</f>
        <v>5</v>
      </c>
      <c r="W210" s="27">
        <v>0</v>
      </c>
      <c r="X210" s="27">
        <v>0</v>
      </c>
      <c r="Y210" s="23">
        <f>ROUNDUP(IF(EDProj[[#This Row],[Tables Needed]]-EDProj[[#This Row],[Tables Provided by the Vote Center]]&lt;0,0,EDProj[[#This Row],[Tables Needed]]-EDProj[[#This Row],[Tables Provided by the Vote Center]]),0)</f>
        <v>5</v>
      </c>
      <c r="Z210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211" spans="1:26" ht="13.9">
      <c r="A211" s="23" t="s">
        <v>113</v>
      </c>
      <c r="B211" s="24" t="s">
        <v>241</v>
      </c>
      <c r="C211" s="73" t="s">
        <v>675</v>
      </c>
      <c r="D211" s="61" t="s">
        <v>240</v>
      </c>
      <c r="E211" s="31" t="s">
        <v>242</v>
      </c>
      <c r="F211" s="93">
        <v>1066</v>
      </c>
      <c r="G211" s="27">
        <v>4</v>
      </c>
      <c r="H211" s="27">
        <v>4</v>
      </c>
      <c r="I211" s="27">
        <v>11</v>
      </c>
      <c r="J211" s="27">
        <v>1</v>
      </c>
      <c r="K211" s="27">
        <v>1</v>
      </c>
      <c r="L211" s="27">
        <v>1</v>
      </c>
      <c r="M211" s="23">
        <f>SUM(EDProj[[#This Row],[★ Hard Case Voting Machines]:[★ Curbside (Rollie) Voting Machine]])</f>
        <v>14</v>
      </c>
      <c r="N211" s="23">
        <v>1</v>
      </c>
      <c r="O211" s="27">
        <v>7</v>
      </c>
      <c r="P211" s="23">
        <v>1</v>
      </c>
      <c r="Q211" s="23">
        <v>1</v>
      </c>
      <c r="R211" s="27">
        <f>EDProj[[#This Row],[★ Judge]]+EDProj[[#This Row],[★ Alt Judge]]+EDProj[[#This Row],[★ Clerks]]</f>
        <v>9</v>
      </c>
      <c r="S211" s="28">
        <v>1750</v>
      </c>
      <c r="T211" s="23">
        <f>EDProj[[#This Row],[★ Ballot Cards]]/250</f>
        <v>7</v>
      </c>
      <c r="U211" s="38">
        <f>EDProj[[#This Row],[★ Soft Case (ADA) Voting Machines]]+EDProj[[#This Row],[Old EPB Allocation]]</f>
        <v>5</v>
      </c>
      <c r="V211" s="38">
        <f>EDProj[[#This Row],[Tables Needed]]</f>
        <v>5</v>
      </c>
      <c r="W211" s="27">
        <v>0</v>
      </c>
      <c r="X211" s="27">
        <v>0</v>
      </c>
      <c r="Y211" s="23">
        <f>ROUNDUP(IF(EDProj[[#This Row],[Tables Needed]]-EDProj[[#This Row],[Tables Provided by the Vote Center]]&lt;0,0,EDProj[[#This Row],[Tables Needed]]-EDProj[[#This Row],[Tables Provided by the Vote Center]]),0)</f>
        <v>5</v>
      </c>
      <c r="Z211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212" spans="1:26" ht="13.9">
      <c r="A212" s="23" t="s">
        <v>294</v>
      </c>
      <c r="B212" s="24" t="s">
        <v>295</v>
      </c>
      <c r="C212" s="73" t="s">
        <v>675</v>
      </c>
      <c r="D212" s="25" t="s">
        <v>680</v>
      </c>
      <c r="E212" s="26" t="s">
        <v>681</v>
      </c>
      <c r="F212" s="92">
        <v>103</v>
      </c>
      <c r="G212" s="27">
        <v>4</v>
      </c>
      <c r="H212" s="27">
        <v>4</v>
      </c>
      <c r="I212" s="27">
        <v>2</v>
      </c>
      <c r="J212" s="27">
        <v>1</v>
      </c>
      <c r="K212" s="27">
        <v>0</v>
      </c>
      <c r="L212" s="27">
        <v>0</v>
      </c>
      <c r="M212" s="23">
        <f>SUM(EDProj[[#This Row],[★ Hard Case Voting Machines]:[★ Curbside (Rollie) Voting Machine]])</f>
        <v>3</v>
      </c>
      <c r="N212" s="23">
        <v>1</v>
      </c>
      <c r="O212" s="27">
        <v>4</v>
      </c>
      <c r="P212" s="27">
        <v>1</v>
      </c>
      <c r="Q212" s="23">
        <v>1</v>
      </c>
      <c r="R212" s="27">
        <f>EDProj[[#This Row],[★ Judge]]+EDProj[[#This Row],[★ Alt Judge]]+EDProj[[#This Row],[★ Clerks]]</f>
        <v>6</v>
      </c>
      <c r="S212" s="28">
        <v>500</v>
      </c>
      <c r="T212" s="23">
        <f>EDProj[[#This Row],[★ Ballot Cards]]/250</f>
        <v>2</v>
      </c>
      <c r="U212" s="38">
        <f>EDProj[[#This Row],[★ Soft Case (ADA) Voting Machines]]+EDProj[[#This Row],[Old EPB Allocation]]</f>
        <v>5</v>
      </c>
      <c r="V212" s="38">
        <f>EDProj[[#This Row],[Tables Needed]]</f>
        <v>5</v>
      </c>
      <c r="W212" s="27">
        <v>5</v>
      </c>
      <c r="X212" s="27">
        <v>10</v>
      </c>
      <c r="Y212" s="23">
        <f>ROUNDUP(IF(EDProj[[#This Row],[Tables Needed]]-EDProj[[#This Row],[Tables Provided by the Vote Center]]&lt;0,0,EDProj[[#This Row],[Tables Needed]]-EDProj[[#This Row],[Tables Provided by the Vote Center]]),0)</f>
        <v>0</v>
      </c>
      <c r="Z212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213" spans="1:26" ht="13.9">
      <c r="A213" s="34" t="s">
        <v>294</v>
      </c>
      <c r="B213" s="84" t="s">
        <v>295</v>
      </c>
      <c r="C213" s="85" t="s">
        <v>675</v>
      </c>
      <c r="D213" s="36" t="s">
        <v>75</v>
      </c>
      <c r="E213" s="37" t="s">
        <v>76</v>
      </c>
      <c r="F213" s="94">
        <v>160</v>
      </c>
      <c r="G213" s="38">
        <v>4</v>
      </c>
      <c r="H213" s="38">
        <v>4</v>
      </c>
      <c r="I213" s="38">
        <v>2</v>
      </c>
      <c r="J213" s="38">
        <v>1</v>
      </c>
      <c r="K213" s="38">
        <v>0</v>
      </c>
      <c r="L213" s="27">
        <v>0</v>
      </c>
      <c r="M213" s="34">
        <f>SUM(EDProj[[#This Row],[★ Hard Case Voting Machines]:[★ Curbside (Rollie) Voting Machine]])</f>
        <v>3</v>
      </c>
      <c r="N213" s="34">
        <v>1</v>
      </c>
      <c r="O213" s="38">
        <v>4</v>
      </c>
      <c r="P213" s="34">
        <v>1</v>
      </c>
      <c r="Q213" s="34">
        <v>1</v>
      </c>
      <c r="R213" s="38">
        <f>EDProj[[#This Row],[★ Judge]]+EDProj[[#This Row],[★ Alt Judge]]+EDProj[[#This Row],[★ Clerks]]</f>
        <v>6</v>
      </c>
      <c r="S213" s="39">
        <v>500</v>
      </c>
      <c r="T213" s="34">
        <f>EDProj[[#This Row],[★ Ballot Cards]]/250</f>
        <v>2</v>
      </c>
      <c r="U213" s="38">
        <f>EDProj[[#This Row],[★ Soft Case (ADA) Voting Machines]]+EDProj[[#This Row],[Old EPB Allocation]]</f>
        <v>5</v>
      </c>
      <c r="V213" s="38">
        <f>EDProj[[#This Row],[Tables Needed]]</f>
        <v>5</v>
      </c>
      <c r="W213" s="38">
        <v>5</v>
      </c>
      <c r="X213" s="38">
        <v>10</v>
      </c>
      <c r="Y213" s="34">
        <f>ROUNDUP(IF(EDProj[[#This Row],[Tables Needed]]-EDProj[[#This Row],[Tables Provided by the Vote Center]]&lt;0,0,EDProj[[#This Row],[Tables Needed]]-EDProj[[#This Row],[Tables Provided by the Vote Center]]),0)</f>
        <v>0</v>
      </c>
      <c r="Z213" s="34">
        <f>ROUNDUP(IF(EDProj[[#This Row],[Chairs Needed]]-EDProj[[#This Row],[Chairs Provided by the Vote Center]]&lt;0,0,EDProj[[#This Row],[Chairs Needed]]-EDProj[[#This Row],[Chairs Provided by the Vote Center]]),0)</f>
        <v>0</v>
      </c>
    </row>
    <row r="214" spans="1:26" ht="13.9">
      <c r="A214" s="23" t="s">
        <v>294</v>
      </c>
      <c r="B214" s="24" t="s">
        <v>295</v>
      </c>
      <c r="C214" s="73" t="s">
        <v>675</v>
      </c>
      <c r="D214" s="25" t="s">
        <v>682</v>
      </c>
      <c r="E214" s="26" t="s">
        <v>683</v>
      </c>
      <c r="F214" s="92">
        <v>947</v>
      </c>
      <c r="G214" s="27">
        <v>4</v>
      </c>
      <c r="H214" s="27">
        <v>4</v>
      </c>
      <c r="I214" s="27">
        <v>11</v>
      </c>
      <c r="J214" s="27">
        <v>1</v>
      </c>
      <c r="K214" s="27">
        <v>0</v>
      </c>
      <c r="L214" s="27">
        <v>0</v>
      </c>
      <c r="M214" s="23">
        <f>SUM(EDProj[[#This Row],[★ Hard Case Voting Machines]:[★ Curbside (Rollie) Voting Machine]])</f>
        <v>12</v>
      </c>
      <c r="N214" s="23">
        <v>1</v>
      </c>
      <c r="O214" s="27">
        <v>7</v>
      </c>
      <c r="P214" s="27">
        <v>1</v>
      </c>
      <c r="Q214" s="23">
        <v>1</v>
      </c>
      <c r="R214" s="27">
        <f>EDProj[[#This Row],[★ Judge]]+EDProj[[#This Row],[★ Alt Judge]]+EDProj[[#This Row],[★ Clerks]]</f>
        <v>9</v>
      </c>
      <c r="S214" s="28">
        <v>1750</v>
      </c>
      <c r="T214" s="23">
        <f>EDProj[[#This Row],[★ Ballot Cards]]/250</f>
        <v>7</v>
      </c>
      <c r="U214" s="38">
        <f>EDProj[[#This Row],[★ Soft Case (ADA) Voting Machines]]+EDProj[[#This Row],[Old EPB Allocation]]</f>
        <v>5</v>
      </c>
      <c r="V214" s="38">
        <f>EDProj[[#This Row],[Tables Needed]]</f>
        <v>5</v>
      </c>
      <c r="W214" s="27">
        <v>0</v>
      </c>
      <c r="X214" s="27">
        <v>0</v>
      </c>
      <c r="Y214" s="23">
        <f>ROUNDUP(IF(EDProj[[#This Row],[Tables Needed]]-EDProj[[#This Row],[Tables Provided by the Vote Center]]&lt;0,0,EDProj[[#This Row],[Tables Needed]]-EDProj[[#This Row],[Tables Provided by the Vote Center]]),0)</f>
        <v>5</v>
      </c>
      <c r="Z214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215" spans="1:26" ht="13.9">
      <c r="A215" s="23" t="s">
        <v>294</v>
      </c>
      <c r="B215" s="24" t="s">
        <v>295</v>
      </c>
      <c r="C215" s="73" t="s">
        <v>675</v>
      </c>
      <c r="D215" s="25" t="s">
        <v>684</v>
      </c>
      <c r="E215" s="26" t="s">
        <v>685</v>
      </c>
      <c r="F215" s="92">
        <v>411</v>
      </c>
      <c r="G215" s="27">
        <v>4</v>
      </c>
      <c r="H215" s="27">
        <v>4</v>
      </c>
      <c r="I215" s="27">
        <v>5</v>
      </c>
      <c r="J215" s="27">
        <v>1</v>
      </c>
      <c r="K215" s="27">
        <v>0</v>
      </c>
      <c r="L215" s="27">
        <v>0</v>
      </c>
      <c r="M215" s="23">
        <f>SUM(EDProj[[#This Row],[★ Hard Case Voting Machines]:[★ Curbside (Rollie) Voting Machine]])</f>
        <v>6</v>
      </c>
      <c r="N215" s="23">
        <v>1</v>
      </c>
      <c r="O215" s="27">
        <v>5</v>
      </c>
      <c r="P215" s="27">
        <v>1</v>
      </c>
      <c r="Q215" s="23">
        <v>1</v>
      </c>
      <c r="R215" s="27">
        <f>EDProj[[#This Row],[★ Judge]]+EDProj[[#This Row],[★ Alt Judge]]+EDProj[[#This Row],[★ Clerks]]</f>
        <v>7</v>
      </c>
      <c r="S215" s="28">
        <v>750</v>
      </c>
      <c r="T215" s="23">
        <f>EDProj[[#This Row],[★ Ballot Cards]]/250</f>
        <v>3</v>
      </c>
      <c r="U215" s="38">
        <f>EDProj[[#This Row],[★ Soft Case (ADA) Voting Machines]]+EDProj[[#This Row],[Old EPB Allocation]]</f>
        <v>5</v>
      </c>
      <c r="V215" s="38">
        <f>EDProj[[#This Row],[Tables Needed]]</f>
        <v>5</v>
      </c>
      <c r="W215" s="27">
        <v>5</v>
      </c>
      <c r="X215" s="27">
        <v>10</v>
      </c>
      <c r="Y215" s="23">
        <f>ROUNDUP(IF(EDProj[[#This Row],[Tables Needed]]-EDProj[[#This Row],[Tables Provided by the Vote Center]]&lt;0,0,EDProj[[#This Row],[Tables Needed]]-EDProj[[#This Row],[Tables Provided by the Vote Center]]),0)</f>
        <v>0</v>
      </c>
      <c r="Z215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216" spans="1:26" ht="13.9">
      <c r="A216" s="23" t="s">
        <v>113</v>
      </c>
      <c r="B216" s="24" t="s">
        <v>283</v>
      </c>
      <c r="C216" s="73" t="s">
        <v>675</v>
      </c>
      <c r="D216" s="25" t="s">
        <v>282</v>
      </c>
      <c r="E216" s="26" t="s">
        <v>284</v>
      </c>
      <c r="F216" s="92">
        <v>1458</v>
      </c>
      <c r="G216" s="27">
        <v>5</v>
      </c>
      <c r="H216" s="27">
        <v>7</v>
      </c>
      <c r="I216" s="27">
        <v>22</v>
      </c>
      <c r="J216" s="27">
        <v>1</v>
      </c>
      <c r="K216" s="27">
        <v>2</v>
      </c>
      <c r="L216" s="27">
        <v>1</v>
      </c>
      <c r="M216" s="23">
        <f>SUM(EDProj[[#This Row],[★ Hard Case Voting Machines]:[★ Curbside (Rollie) Voting Machine]])</f>
        <v>26</v>
      </c>
      <c r="N216" s="23">
        <v>1</v>
      </c>
      <c r="O216" s="27">
        <v>13</v>
      </c>
      <c r="P216" s="27">
        <v>1</v>
      </c>
      <c r="Q216" s="23">
        <v>1</v>
      </c>
      <c r="R216" s="27">
        <f>EDProj[[#This Row],[★ Judge]]+EDProj[[#This Row],[★ Alt Judge]]+EDProj[[#This Row],[★ Clerks]]</f>
        <v>15</v>
      </c>
      <c r="S216" s="28">
        <v>2500</v>
      </c>
      <c r="T216" s="23">
        <f>EDProj[[#This Row],[★ Ballot Cards]]/250</f>
        <v>10</v>
      </c>
      <c r="U216" s="38">
        <f>EDProj[[#This Row],[★ Soft Case (ADA) Voting Machines]]+EDProj[[#This Row],[Old EPB Allocation]]</f>
        <v>6</v>
      </c>
      <c r="V216" s="38">
        <f>EDProj[[#This Row],[Tables Needed]]</f>
        <v>6</v>
      </c>
      <c r="W216" s="27">
        <v>8</v>
      </c>
      <c r="X216" s="27">
        <v>20</v>
      </c>
      <c r="Y216" s="23">
        <f>ROUNDUP(IF(EDProj[[#This Row],[Tables Needed]]-EDProj[[#This Row],[Tables Provided by the Vote Center]]&lt;0,0,EDProj[[#This Row],[Tables Needed]]-EDProj[[#This Row],[Tables Provided by the Vote Center]]),0)</f>
        <v>0</v>
      </c>
      <c r="Z216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217" spans="1:26" ht="13.9">
      <c r="A217" s="23" t="s">
        <v>294</v>
      </c>
      <c r="B217" s="24" t="s">
        <v>295</v>
      </c>
      <c r="C217" s="73" t="s">
        <v>675</v>
      </c>
      <c r="D217" s="25" t="s">
        <v>686</v>
      </c>
      <c r="E217" s="26" t="s">
        <v>687</v>
      </c>
      <c r="F217" s="92">
        <v>281</v>
      </c>
      <c r="G217" s="27">
        <v>4</v>
      </c>
      <c r="H217" s="27">
        <v>4</v>
      </c>
      <c r="I217" s="27">
        <v>4</v>
      </c>
      <c r="J217" s="27">
        <v>1</v>
      </c>
      <c r="K217" s="27">
        <v>0</v>
      </c>
      <c r="L217" s="27">
        <v>0</v>
      </c>
      <c r="M217" s="23">
        <f>SUM(EDProj[[#This Row],[★ Hard Case Voting Machines]:[★ Curbside (Rollie) Voting Machine]])</f>
        <v>5</v>
      </c>
      <c r="N217" s="23">
        <v>1</v>
      </c>
      <c r="O217" s="27">
        <v>5</v>
      </c>
      <c r="P217" s="27">
        <v>1</v>
      </c>
      <c r="Q217" s="23">
        <v>1</v>
      </c>
      <c r="R217" s="27">
        <f>EDProj[[#This Row],[★ Judge]]+EDProj[[#This Row],[★ Alt Judge]]+EDProj[[#This Row],[★ Clerks]]</f>
        <v>7</v>
      </c>
      <c r="S217" s="28">
        <v>500</v>
      </c>
      <c r="T217" s="23">
        <f>EDProj[[#This Row],[★ Ballot Cards]]/250</f>
        <v>2</v>
      </c>
      <c r="U217" s="38">
        <f>EDProj[[#This Row],[★ Soft Case (ADA) Voting Machines]]+EDProj[[#This Row],[Old EPB Allocation]]</f>
        <v>5</v>
      </c>
      <c r="V217" s="38">
        <f>EDProj[[#This Row],[Tables Needed]]</f>
        <v>5</v>
      </c>
      <c r="W217" s="27">
        <v>0</v>
      </c>
      <c r="X217" s="27">
        <v>0</v>
      </c>
      <c r="Y217" s="23">
        <f>ROUNDUP(IF(EDProj[[#This Row],[Tables Needed]]-EDProj[[#This Row],[Tables Provided by the Vote Center]]&lt;0,0,EDProj[[#This Row],[Tables Needed]]-EDProj[[#This Row],[Tables Provided by the Vote Center]]),0)</f>
        <v>5</v>
      </c>
      <c r="Z217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218" spans="1:26" ht="13.9">
      <c r="A218" s="23" t="s">
        <v>294</v>
      </c>
      <c r="B218" s="24" t="s">
        <v>295</v>
      </c>
      <c r="C218" s="73" t="s">
        <v>675</v>
      </c>
      <c r="D218" s="25" t="s">
        <v>688</v>
      </c>
      <c r="E218" s="26" t="s">
        <v>689</v>
      </c>
      <c r="F218" s="92">
        <v>191</v>
      </c>
      <c r="G218" s="27">
        <v>4</v>
      </c>
      <c r="H218" s="27">
        <v>4</v>
      </c>
      <c r="I218" s="27">
        <v>3</v>
      </c>
      <c r="J218" s="27">
        <v>1</v>
      </c>
      <c r="K218" s="27">
        <v>0</v>
      </c>
      <c r="L218" s="27">
        <v>0</v>
      </c>
      <c r="M218" s="23">
        <f>SUM(EDProj[[#This Row],[★ Hard Case Voting Machines]:[★ Curbside (Rollie) Voting Machine]])</f>
        <v>4</v>
      </c>
      <c r="N218" s="23">
        <v>1</v>
      </c>
      <c r="O218" s="27">
        <v>4</v>
      </c>
      <c r="P218" s="27">
        <v>1</v>
      </c>
      <c r="Q218" s="23">
        <v>1</v>
      </c>
      <c r="R218" s="27">
        <f>EDProj[[#This Row],[★ Judge]]+EDProj[[#This Row],[★ Alt Judge]]+EDProj[[#This Row],[★ Clerks]]</f>
        <v>6</v>
      </c>
      <c r="S218" s="28">
        <v>500</v>
      </c>
      <c r="T218" s="23">
        <f>EDProj[[#This Row],[★ Ballot Cards]]/250</f>
        <v>2</v>
      </c>
      <c r="U218" s="38">
        <f>EDProj[[#This Row],[★ Soft Case (ADA) Voting Machines]]+EDProj[[#This Row],[Old EPB Allocation]]</f>
        <v>5</v>
      </c>
      <c r="V218" s="38">
        <f>EDProj[[#This Row],[Tables Needed]]</f>
        <v>5</v>
      </c>
      <c r="W218" s="27">
        <v>4</v>
      </c>
      <c r="X218" s="27">
        <v>12</v>
      </c>
      <c r="Y218" s="23">
        <f>ROUNDUP(IF(EDProj[[#This Row],[Tables Needed]]-EDProj[[#This Row],[Tables Provided by the Vote Center]]&lt;0,0,EDProj[[#This Row],[Tables Needed]]-EDProj[[#This Row],[Tables Provided by the Vote Center]]),0)</f>
        <v>1</v>
      </c>
      <c r="Z218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219" spans="1:26" ht="13.9">
      <c r="A219" s="23" t="s">
        <v>294</v>
      </c>
      <c r="B219" s="24" t="s">
        <v>295</v>
      </c>
      <c r="C219" s="73" t="s">
        <v>675</v>
      </c>
      <c r="D219" s="25" t="s">
        <v>690</v>
      </c>
      <c r="E219" s="26" t="s">
        <v>691</v>
      </c>
      <c r="F219" s="92">
        <v>455</v>
      </c>
      <c r="G219" s="27">
        <v>4</v>
      </c>
      <c r="H219" s="27">
        <v>4</v>
      </c>
      <c r="I219" s="27">
        <v>7</v>
      </c>
      <c r="J219" s="27">
        <v>1</v>
      </c>
      <c r="K219" s="27">
        <v>0</v>
      </c>
      <c r="L219" s="27">
        <v>0</v>
      </c>
      <c r="M219" s="23">
        <f>SUM(EDProj[[#This Row],[★ Hard Case Voting Machines]:[★ Curbside (Rollie) Voting Machine]])</f>
        <v>8</v>
      </c>
      <c r="N219" s="23">
        <v>1</v>
      </c>
      <c r="O219" s="27">
        <v>5</v>
      </c>
      <c r="P219" s="27">
        <v>1</v>
      </c>
      <c r="Q219" s="23">
        <v>1</v>
      </c>
      <c r="R219" s="27">
        <f>EDProj[[#This Row],[★ Judge]]+EDProj[[#This Row],[★ Alt Judge]]+EDProj[[#This Row],[★ Clerks]]</f>
        <v>7</v>
      </c>
      <c r="S219" s="28">
        <v>750</v>
      </c>
      <c r="T219" s="23">
        <f>EDProj[[#This Row],[★ Ballot Cards]]/250</f>
        <v>3</v>
      </c>
      <c r="U219" s="38">
        <f>EDProj[[#This Row],[★ Soft Case (ADA) Voting Machines]]+EDProj[[#This Row],[Old EPB Allocation]]</f>
        <v>5</v>
      </c>
      <c r="V219" s="38">
        <f>EDProj[[#This Row],[Tables Needed]]</f>
        <v>5</v>
      </c>
      <c r="W219" s="27">
        <v>0</v>
      </c>
      <c r="X219" s="27">
        <v>0</v>
      </c>
      <c r="Y219" s="23">
        <f>ROUNDUP(IF(EDProj[[#This Row],[Tables Needed]]-EDProj[[#This Row],[Tables Provided by the Vote Center]]&lt;0,0,EDProj[[#This Row],[Tables Needed]]-EDProj[[#This Row],[Tables Provided by the Vote Center]]),0)</f>
        <v>5</v>
      </c>
      <c r="Z219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220" spans="1:26" ht="13.9">
      <c r="A220" s="23" t="s">
        <v>294</v>
      </c>
      <c r="B220" s="24" t="s">
        <v>295</v>
      </c>
      <c r="C220" s="73" t="s">
        <v>675</v>
      </c>
      <c r="D220" s="25" t="s">
        <v>692</v>
      </c>
      <c r="E220" s="26" t="s">
        <v>693</v>
      </c>
      <c r="F220" s="92">
        <v>472</v>
      </c>
      <c r="G220" s="27">
        <v>4</v>
      </c>
      <c r="H220" s="27">
        <v>4</v>
      </c>
      <c r="I220" s="27">
        <v>8</v>
      </c>
      <c r="J220" s="27">
        <v>1</v>
      </c>
      <c r="K220" s="27">
        <v>0</v>
      </c>
      <c r="L220" s="27">
        <v>0</v>
      </c>
      <c r="M220" s="23">
        <f>SUM(EDProj[[#This Row],[★ Hard Case Voting Machines]:[★ Curbside (Rollie) Voting Machine]])</f>
        <v>9</v>
      </c>
      <c r="N220" s="23">
        <v>1</v>
      </c>
      <c r="O220" s="27">
        <v>6</v>
      </c>
      <c r="P220" s="27">
        <v>1</v>
      </c>
      <c r="Q220" s="23">
        <v>1</v>
      </c>
      <c r="R220" s="27">
        <f>EDProj[[#This Row],[★ Judge]]+EDProj[[#This Row],[★ Alt Judge]]+EDProj[[#This Row],[★ Clerks]]</f>
        <v>8</v>
      </c>
      <c r="S220" s="28">
        <v>1000</v>
      </c>
      <c r="T220" s="23">
        <f>EDProj[[#This Row],[★ Ballot Cards]]/250</f>
        <v>4</v>
      </c>
      <c r="U220" s="38">
        <f>EDProj[[#This Row],[★ Soft Case (ADA) Voting Machines]]+EDProj[[#This Row],[Old EPB Allocation]]</f>
        <v>5</v>
      </c>
      <c r="V220" s="38">
        <f>EDProj[[#This Row],[Tables Needed]]</f>
        <v>5</v>
      </c>
      <c r="W220" s="27">
        <v>0</v>
      </c>
      <c r="X220" s="27">
        <v>0</v>
      </c>
      <c r="Y220" s="23">
        <f>ROUNDUP(IF(EDProj[[#This Row],[Tables Needed]]-EDProj[[#This Row],[Tables Provided by the Vote Center]]&lt;0,0,EDProj[[#This Row],[Tables Needed]]-EDProj[[#This Row],[Tables Provided by the Vote Center]]),0)</f>
        <v>5</v>
      </c>
      <c r="Z220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221" spans="1:26" ht="13.9">
      <c r="A221" s="23" t="s">
        <v>294</v>
      </c>
      <c r="B221" s="24" t="s">
        <v>295</v>
      </c>
      <c r="C221" s="73" t="s">
        <v>675</v>
      </c>
      <c r="D221" s="25" t="s">
        <v>694</v>
      </c>
      <c r="E221" s="26" t="s">
        <v>695</v>
      </c>
      <c r="F221" s="92">
        <v>264</v>
      </c>
      <c r="G221" s="27">
        <v>4</v>
      </c>
      <c r="H221" s="27">
        <v>4</v>
      </c>
      <c r="I221" s="27">
        <v>3</v>
      </c>
      <c r="J221" s="27">
        <v>1</v>
      </c>
      <c r="K221" s="27">
        <v>0</v>
      </c>
      <c r="L221" s="27">
        <v>0</v>
      </c>
      <c r="M221" s="23">
        <f>SUM(EDProj[[#This Row],[★ Hard Case Voting Machines]:[★ Curbside (Rollie) Voting Machine]])</f>
        <v>4</v>
      </c>
      <c r="N221" s="23">
        <v>1</v>
      </c>
      <c r="O221" s="27">
        <v>4</v>
      </c>
      <c r="P221" s="27">
        <v>1</v>
      </c>
      <c r="Q221" s="23">
        <v>1</v>
      </c>
      <c r="R221" s="27">
        <f>EDProj[[#This Row],[★ Judge]]+EDProj[[#This Row],[★ Alt Judge]]+EDProj[[#This Row],[★ Clerks]]</f>
        <v>6</v>
      </c>
      <c r="S221" s="28">
        <v>500</v>
      </c>
      <c r="T221" s="23">
        <f>EDProj[[#This Row],[★ Ballot Cards]]/250</f>
        <v>2</v>
      </c>
      <c r="U221" s="38">
        <f>EDProj[[#This Row],[★ Soft Case (ADA) Voting Machines]]+EDProj[[#This Row],[Old EPB Allocation]]</f>
        <v>5</v>
      </c>
      <c r="V221" s="38">
        <f>EDProj[[#This Row],[Tables Needed]]</f>
        <v>5</v>
      </c>
      <c r="W221" s="27">
        <v>0</v>
      </c>
      <c r="X221" s="27">
        <v>0</v>
      </c>
      <c r="Y221" s="23">
        <f>ROUNDUP(IF(EDProj[[#This Row],[Tables Needed]]-EDProj[[#This Row],[Tables Provided by the Vote Center]]&lt;0,0,EDProj[[#This Row],[Tables Needed]]-EDProj[[#This Row],[Tables Provided by the Vote Center]]),0)</f>
        <v>5</v>
      </c>
      <c r="Z221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222" spans="1:26" ht="13.9">
      <c r="A222" s="23" t="s">
        <v>294</v>
      </c>
      <c r="B222" s="24" t="s">
        <v>295</v>
      </c>
      <c r="C222" s="73" t="s">
        <v>675</v>
      </c>
      <c r="D222" s="30" t="s">
        <v>696</v>
      </c>
      <c r="E222" s="31" t="s">
        <v>697</v>
      </c>
      <c r="F222" s="93">
        <v>81</v>
      </c>
      <c r="G222" s="27">
        <v>4</v>
      </c>
      <c r="H222" s="27">
        <v>4</v>
      </c>
      <c r="I222" s="27">
        <v>2</v>
      </c>
      <c r="J222" s="27">
        <v>1</v>
      </c>
      <c r="K222" s="27">
        <v>0</v>
      </c>
      <c r="L222" s="27">
        <v>0</v>
      </c>
      <c r="M222" s="23">
        <f>SUM(EDProj[[#This Row],[★ Hard Case Voting Machines]:[★ Curbside (Rollie) Voting Machine]])</f>
        <v>3</v>
      </c>
      <c r="N222" s="23">
        <v>1</v>
      </c>
      <c r="O222" s="27">
        <v>4</v>
      </c>
      <c r="P222" s="27">
        <v>1</v>
      </c>
      <c r="Q222" s="23">
        <v>1</v>
      </c>
      <c r="R222" s="27">
        <f>EDProj[[#This Row],[★ Judge]]+EDProj[[#This Row],[★ Alt Judge]]+EDProj[[#This Row],[★ Clerks]]</f>
        <v>6</v>
      </c>
      <c r="S222" s="28">
        <v>500</v>
      </c>
      <c r="T222" s="23">
        <f>EDProj[[#This Row],[★ Ballot Cards]]/250</f>
        <v>2</v>
      </c>
      <c r="U222" s="38">
        <f>EDProj[[#This Row],[★ Soft Case (ADA) Voting Machines]]+EDProj[[#This Row],[Old EPB Allocation]]</f>
        <v>5</v>
      </c>
      <c r="V222" s="38">
        <f>EDProj[[#This Row],[Tables Needed]]</f>
        <v>5</v>
      </c>
      <c r="W222" s="27">
        <v>0</v>
      </c>
      <c r="X222" s="27">
        <v>0</v>
      </c>
      <c r="Y222" s="23">
        <f>ROUNDUP(IF(EDProj[[#This Row],[Tables Needed]]-EDProj[[#This Row],[Tables Provided by the Vote Center]]&lt;0,0,EDProj[[#This Row],[Tables Needed]]-EDProj[[#This Row],[Tables Provided by the Vote Center]]),0)</f>
        <v>5</v>
      </c>
      <c r="Z222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223" spans="1:26" ht="13.9">
      <c r="A223" s="23" t="s">
        <v>294</v>
      </c>
      <c r="B223" s="24" t="s">
        <v>295</v>
      </c>
      <c r="C223" s="73" t="s">
        <v>675</v>
      </c>
      <c r="D223" s="25" t="s">
        <v>698</v>
      </c>
      <c r="E223" s="26" t="s">
        <v>699</v>
      </c>
      <c r="F223" s="92">
        <v>168</v>
      </c>
      <c r="G223" s="27">
        <v>4</v>
      </c>
      <c r="H223" s="27">
        <v>4</v>
      </c>
      <c r="I223" s="27">
        <v>2</v>
      </c>
      <c r="J223" s="27">
        <v>1</v>
      </c>
      <c r="K223" s="27">
        <v>0</v>
      </c>
      <c r="L223" s="27">
        <v>0</v>
      </c>
      <c r="M223" s="23">
        <f>SUM(EDProj[[#This Row],[★ Hard Case Voting Machines]:[★ Curbside (Rollie) Voting Machine]])</f>
        <v>3</v>
      </c>
      <c r="N223" s="23">
        <v>1</v>
      </c>
      <c r="O223" s="27">
        <v>4</v>
      </c>
      <c r="P223" s="27">
        <v>1</v>
      </c>
      <c r="Q223" s="23">
        <v>1</v>
      </c>
      <c r="R223" s="27">
        <f>EDProj[[#This Row],[★ Judge]]+EDProj[[#This Row],[★ Alt Judge]]+EDProj[[#This Row],[★ Clerks]]</f>
        <v>6</v>
      </c>
      <c r="S223" s="28">
        <v>500</v>
      </c>
      <c r="T223" s="23">
        <f>EDProj[[#This Row],[★ Ballot Cards]]/250</f>
        <v>2</v>
      </c>
      <c r="U223" s="38">
        <f>EDProj[[#This Row],[★ Soft Case (ADA) Voting Machines]]+EDProj[[#This Row],[Old EPB Allocation]]</f>
        <v>5</v>
      </c>
      <c r="V223" s="38">
        <f>EDProj[[#This Row],[Tables Needed]]</f>
        <v>5</v>
      </c>
      <c r="W223" s="27">
        <v>0</v>
      </c>
      <c r="X223" s="27">
        <v>0</v>
      </c>
      <c r="Y223" s="23">
        <f>ROUNDUP(IF(EDProj[[#This Row],[Tables Needed]]-EDProj[[#This Row],[Tables Provided by the Vote Center]]&lt;0,0,EDProj[[#This Row],[Tables Needed]]-EDProj[[#This Row],[Tables Provided by the Vote Center]]),0)</f>
        <v>5</v>
      </c>
      <c r="Z223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224" spans="1:26" ht="13.9">
      <c r="A224" s="23" t="s">
        <v>294</v>
      </c>
      <c r="B224" s="24" t="s">
        <v>295</v>
      </c>
      <c r="C224" s="73" t="s">
        <v>675</v>
      </c>
      <c r="D224" s="25" t="s">
        <v>700</v>
      </c>
      <c r="E224" s="26" t="s">
        <v>701</v>
      </c>
      <c r="F224" s="92">
        <v>112</v>
      </c>
      <c r="G224" s="27">
        <v>4</v>
      </c>
      <c r="H224" s="27">
        <v>4</v>
      </c>
      <c r="I224" s="27">
        <v>2</v>
      </c>
      <c r="J224" s="27">
        <v>1</v>
      </c>
      <c r="K224" s="27">
        <v>0</v>
      </c>
      <c r="L224" s="27">
        <v>0</v>
      </c>
      <c r="M224" s="23">
        <f>SUM(EDProj[[#This Row],[★ Hard Case Voting Machines]:[★ Curbside (Rollie) Voting Machine]])</f>
        <v>3</v>
      </c>
      <c r="N224" s="23">
        <v>1</v>
      </c>
      <c r="O224" s="27">
        <v>4</v>
      </c>
      <c r="P224" s="27">
        <v>1</v>
      </c>
      <c r="Q224" s="23">
        <v>1</v>
      </c>
      <c r="R224" s="27">
        <f>EDProj[[#This Row],[★ Judge]]+EDProj[[#This Row],[★ Alt Judge]]+EDProj[[#This Row],[★ Clerks]]</f>
        <v>6</v>
      </c>
      <c r="S224" s="28">
        <v>500</v>
      </c>
      <c r="T224" s="23">
        <f>EDProj[[#This Row],[★ Ballot Cards]]/250</f>
        <v>2</v>
      </c>
      <c r="U224" s="38">
        <f>EDProj[[#This Row],[★ Soft Case (ADA) Voting Machines]]+EDProj[[#This Row],[Old EPB Allocation]]</f>
        <v>5</v>
      </c>
      <c r="V224" s="38">
        <f>EDProj[[#This Row],[Tables Needed]]</f>
        <v>5</v>
      </c>
      <c r="W224" s="27">
        <v>5</v>
      </c>
      <c r="X224" s="27">
        <v>10</v>
      </c>
      <c r="Y224" s="23">
        <f>ROUNDUP(IF(EDProj[[#This Row],[Tables Needed]]-EDProj[[#This Row],[Tables Provided by the Vote Center]]&lt;0,0,EDProj[[#This Row],[Tables Needed]]-EDProj[[#This Row],[Tables Provided by the Vote Center]]),0)</f>
        <v>0</v>
      </c>
      <c r="Z224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225" spans="1:26" ht="13.9">
      <c r="A225" s="23" t="s">
        <v>294</v>
      </c>
      <c r="B225" s="24" t="s">
        <v>295</v>
      </c>
      <c r="C225" s="73" t="s">
        <v>675</v>
      </c>
      <c r="D225" s="25" t="s">
        <v>702</v>
      </c>
      <c r="E225" s="26" t="s">
        <v>703</v>
      </c>
      <c r="F225" s="92">
        <v>118</v>
      </c>
      <c r="G225" s="27">
        <v>4</v>
      </c>
      <c r="H225" s="27">
        <v>4</v>
      </c>
      <c r="I225" s="27">
        <v>2</v>
      </c>
      <c r="J225" s="27">
        <v>1</v>
      </c>
      <c r="K225" s="27">
        <v>0</v>
      </c>
      <c r="L225" s="27">
        <v>0</v>
      </c>
      <c r="M225" s="23">
        <f>SUM(EDProj[[#This Row],[★ Hard Case Voting Machines]:[★ Curbside (Rollie) Voting Machine]])</f>
        <v>3</v>
      </c>
      <c r="N225" s="23">
        <v>1</v>
      </c>
      <c r="O225" s="27">
        <v>4</v>
      </c>
      <c r="P225" s="27">
        <v>1</v>
      </c>
      <c r="Q225" s="23">
        <v>1</v>
      </c>
      <c r="R225" s="27">
        <f>EDProj[[#This Row],[★ Judge]]+EDProj[[#This Row],[★ Alt Judge]]+EDProj[[#This Row],[★ Clerks]]</f>
        <v>6</v>
      </c>
      <c r="S225" s="28">
        <v>500</v>
      </c>
      <c r="T225" s="23">
        <f>EDProj[[#This Row],[★ Ballot Cards]]/250</f>
        <v>2</v>
      </c>
      <c r="U225" s="38">
        <f>EDProj[[#This Row],[★ Soft Case (ADA) Voting Machines]]+EDProj[[#This Row],[Old EPB Allocation]]</f>
        <v>5</v>
      </c>
      <c r="V225" s="38">
        <f>EDProj[[#This Row],[Tables Needed]]</f>
        <v>5</v>
      </c>
      <c r="W225" s="27">
        <v>13</v>
      </c>
      <c r="X225" s="27">
        <v>50</v>
      </c>
      <c r="Y225" s="23">
        <f>ROUNDUP(IF(EDProj[[#This Row],[Tables Needed]]-EDProj[[#This Row],[Tables Provided by the Vote Center]]&lt;0,0,EDProj[[#This Row],[Tables Needed]]-EDProj[[#This Row],[Tables Provided by the Vote Center]]),0)</f>
        <v>0</v>
      </c>
      <c r="Z225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226" spans="1:26" ht="13.9">
      <c r="A226" s="23" t="s">
        <v>294</v>
      </c>
      <c r="B226" s="24" t="s">
        <v>295</v>
      </c>
      <c r="C226" s="73" t="s">
        <v>675</v>
      </c>
      <c r="D226" s="25" t="s">
        <v>704</v>
      </c>
      <c r="E226" s="26" t="s">
        <v>705</v>
      </c>
      <c r="F226" s="92">
        <v>177</v>
      </c>
      <c r="G226" s="27">
        <v>4</v>
      </c>
      <c r="H226" s="27">
        <v>4</v>
      </c>
      <c r="I226" s="27">
        <v>3</v>
      </c>
      <c r="J226" s="27">
        <v>1</v>
      </c>
      <c r="K226" s="27">
        <v>0</v>
      </c>
      <c r="L226" s="27">
        <v>0</v>
      </c>
      <c r="M226" s="23">
        <f>SUM(EDProj[[#This Row],[★ Hard Case Voting Machines]:[★ Curbside (Rollie) Voting Machine]])</f>
        <v>4</v>
      </c>
      <c r="N226" s="23">
        <v>1</v>
      </c>
      <c r="O226" s="27">
        <v>4</v>
      </c>
      <c r="P226" s="27">
        <v>1</v>
      </c>
      <c r="Q226" s="23">
        <v>1</v>
      </c>
      <c r="R226" s="27">
        <f>EDProj[[#This Row],[★ Judge]]+EDProj[[#This Row],[★ Alt Judge]]+EDProj[[#This Row],[★ Clerks]]</f>
        <v>6</v>
      </c>
      <c r="S226" s="28">
        <v>500</v>
      </c>
      <c r="T226" s="23">
        <f>EDProj[[#This Row],[★ Ballot Cards]]/250</f>
        <v>2</v>
      </c>
      <c r="U226" s="38">
        <f>EDProj[[#This Row],[★ Soft Case (ADA) Voting Machines]]+EDProj[[#This Row],[Old EPB Allocation]]</f>
        <v>5</v>
      </c>
      <c r="V226" s="38">
        <f>EDProj[[#This Row],[Tables Needed]]</f>
        <v>5</v>
      </c>
      <c r="W226" s="27">
        <v>10</v>
      </c>
      <c r="X226" s="27">
        <v>30</v>
      </c>
      <c r="Y226" s="23">
        <f>ROUNDUP(IF(EDProj[[#This Row],[Tables Needed]]-EDProj[[#This Row],[Tables Provided by the Vote Center]]&lt;0,0,EDProj[[#This Row],[Tables Needed]]-EDProj[[#This Row],[Tables Provided by the Vote Center]]),0)</f>
        <v>0</v>
      </c>
      <c r="Z226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227" spans="1:26" ht="13.9">
      <c r="A227" s="23" t="s">
        <v>294</v>
      </c>
      <c r="B227" s="24" t="s">
        <v>295</v>
      </c>
      <c r="C227" s="73" t="s">
        <v>675</v>
      </c>
      <c r="D227" s="25" t="s">
        <v>706</v>
      </c>
      <c r="E227" s="26" t="s">
        <v>707</v>
      </c>
      <c r="F227" s="92">
        <v>193</v>
      </c>
      <c r="G227" s="27">
        <v>4</v>
      </c>
      <c r="H227" s="27">
        <v>4</v>
      </c>
      <c r="I227" s="27">
        <v>3</v>
      </c>
      <c r="J227" s="27">
        <v>1</v>
      </c>
      <c r="K227" s="27">
        <v>0</v>
      </c>
      <c r="L227" s="27">
        <v>0</v>
      </c>
      <c r="M227" s="23">
        <f>SUM(EDProj[[#This Row],[★ Hard Case Voting Machines]:[★ Curbside (Rollie) Voting Machine]])</f>
        <v>4</v>
      </c>
      <c r="N227" s="23">
        <v>1</v>
      </c>
      <c r="O227" s="27">
        <v>4</v>
      </c>
      <c r="P227" s="27">
        <v>1</v>
      </c>
      <c r="Q227" s="23">
        <v>1</v>
      </c>
      <c r="R227" s="27">
        <f>EDProj[[#This Row],[★ Judge]]+EDProj[[#This Row],[★ Alt Judge]]+EDProj[[#This Row],[★ Clerks]]</f>
        <v>6</v>
      </c>
      <c r="S227" s="28">
        <v>500</v>
      </c>
      <c r="T227" s="23">
        <f>EDProj[[#This Row],[★ Ballot Cards]]/250</f>
        <v>2</v>
      </c>
      <c r="U227" s="38">
        <f>EDProj[[#This Row],[★ Soft Case (ADA) Voting Machines]]+EDProj[[#This Row],[Old EPB Allocation]]</f>
        <v>5</v>
      </c>
      <c r="V227" s="38">
        <f>EDProj[[#This Row],[Tables Needed]]</f>
        <v>5</v>
      </c>
      <c r="W227" s="27">
        <v>0</v>
      </c>
      <c r="X227" s="27">
        <v>0</v>
      </c>
      <c r="Y227" s="23">
        <f>ROUNDUP(IF(EDProj[[#This Row],[Tables Needed]]-EDProj[[#This Row],[Tables Provided by the Vote Center]]&lt;0,0,EDProj[[#This Row],[Tables Needed]]-EDProj[[#This Row],[Tables Provided by the Vote Center]]),0)</f>
        <v>5</v>
      </c>
      <c r="Z227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228" spans="1:26" ht="13.9">
      <c r="A228" s="23" t="s">
        <v>294</v>
      </c>
      <c r="B228" s="24" t="s">
        <v>295</v>
      </c>
      <c r="C228" s="73" t="s">
        <v>675</v>
      </c>
      <c r="D228" s="25" t="s">
        <v>708</v>
      </c>
      <c r="E228" s="26" t="s">
        <v>709</v>
      </c>
      <c r="F228" s="92">
        <v>237</v>
      </c>
      <c r="G228" s="27">
        <v>4</v>
      </c>
      <c r="H228" s="27">
        <v>4</v>
      </c>
      <c r="I228" s="27">
        <v>4</v>
      </c>
      <c r="J228" s="27">
        <v>1</v>
      </c>
      <c r="K228" s="27">
        <v>0</v>
      </c>
      <c r="L228" s="27">
        <v>0</v>
      </c>
      <c r="M228" s="23">
        <f>SUM(EDProj[[#This Row],[★ Hard Case Voting Machines]:[★ Curbside (Rollie) Voting Machine]])</f>
        <v>5</v>
      </c>
      <c r="N228" s="23">
        <v>1</v>
      </c>
      <c r="O228" s="27">
        <v>5</v>
      </c>
      <c r="P228" s="27">
        <v>1</v>
      </c>
      <c r="Q228" s="23">
        <v>1</v>
      </c>
      <c r="R228" s="27">
        <f>EDProj[[#This Row],[★ Judge]]+EDProj[[#This Row],[★ Alt Judge]]+EDProj[[#This Row],[★ Clerks]]</f>
        <v>7</v>
      </c>
      <c r="S228" s="28">
        <v>500</v>
      </c>
      <c r="T228" s="23">
        <f>EDProj[[#This Row],[★ Ballot Cards]]/250</f>
        <v>2</v>
      </c>
      <c r="U228" s="38">
        <f>EDProj[[#This Row],[★ Soft Case (ADA) Voting Machines]]+EDProj[[#This Row],[Old EPB Allocation]]</f>
        <v>5</v>
      </c>
      <c r="V228" s="38">
        <f>EDProj[[#This Row],[Tables Needed]]</f>
        <v>5</v>
      </c>
      <c r="W228" s="27">
        <v>10</v>
      </c>
      <c r="X228" s="27">
        <v>20</v>
      </c>
      <c r="Y228" s="23">
        <f>ROUNDUP(IF(EDProj[[#This Row],[Tables Needed]]-EDProj[[#This Row],[Tables Provided by the Vote Center]]&lt;0,0,EDProj[[#This Row],[Tables Needed]]-EDProj[[#This Row],[Tables Provided by the Vote Center]]),0)</f>
        <v>0</v>
      </c>
      <c r="Z228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229" spans="1:26" ht="13.9">
      <c r="A229" s="23" t="s">
        <v>294</v>
      </c>
      <c r="B229" s="24" t="s">
        <v>295</v>
      </c>
      <c r="C229" s="73" t="s">
        <v>675</v>
      </c>
      <c r="D229" s="25" t="s">
        <v>710</v>
      </c>
      <c r="E229" s="26" t="s">
        <v>711</v>
      </c>
      <c r="F229" s="92">
        <v>141</v>
      </c>
      <c r="G229" s="27">
        <v>4</v>
      </c>
      <c r="H229" s="27">
        <v>4</v>
      </c>
      <c r="I229" s="27">
        <v>2</v>
      </c>
      <c r="J229" s="27">
        <v>1</v>
      </c>
      <c r="K229" s="27">
        <v>0</v>
      </c>
      <c r="L229" s="27">
        <v>0</v>
      </c>
      <c r="M229" s="23">
        <f>SUM(EDProj[[#This Row],[★ Hard Case Voting Machines]:[★ Curbside (Rollie) Voting Machine]])</f>
        <v>3</v>
      </c>
      <c r="N229" s="23">
        <v>1</v>
      </c>
      <c r="O229" s="27">
        <v>4</v>
      </c>
      <c r="P229" s="27">
        <v>1</v>
      </c>
      <c r="Q229" s="23">
        <v>1</v>
      </c>
      <c r="R229" s="27">
        <f>EDProj[[#This Row],[★ Judge]]+EDProj[[#This Row],[★ Alt Judge]]+EDProj[[#This Row],[★ Clerks]]</f>
        <v>6</v>
      </c>
      <c r="S229" s="28">
        <v>500</v>
      </c>
      <c r="T229" s="23">
        <f>EDProj[[#This Row],[★ Ballot Cards]]/250</f>
        <v>2</v>
      </c>
      <c r="U229" s="38">
        <f>EDProj[[#This Row],[★ Soft Case (ADA) Voting Machines]]+EDProj[[#This Row],[Old EPB Allocation]]</f>
        <v>5</v>
      </c>
      <c r="V229" s="38">
        <f>EDProj[[#This Row],[Tables Needed]]</f>
        <v>5</v>
      </c>
      <c r="W229" s="27">
        <v>0</v>
      </c>
      <c r="X229" s="27">
        <v>0</v>
      </c>
      <c r="Y229" s="23">
        <f>ROUNDUP(IF(EDProj[[#This Row],[Tables Needed]]-EDProj[[#This Row],[Tables Provided by the Vote Center]]&lt;0,0,EDProj[[#This Row],[Tables Needed]]-EDProj[[#This Row],[Tables Provided by the Vote Center]]),0)</f>
        <v>5</v>
      </c>
      <c r="Z229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230" spans="1:26" ht="13.9">
      <c r="A230" s="23" t="s">
        <v>294</v>
      </c>
      <c r="B230" s="24" t="s">
        <v>295</v>
      </c>
      <c r="C230" s="73" t="s">
        <v>675</v>
      </c>
      <c r="D230" s="25" t="s">
        <v>712</v>
      </c>
      <c r="E230" s="26" t="s">
        <v>713</v>
      </c>
      <c r="F230" s="92">
        <v>410</v>
      </c>
      <c r="G230" s="27">
        <v>4</v>
      </c>
      <c r="H230" s="27">
        <v>4</v>
      </c>
      <c r="I230" s="27">
        <v>6</v>
      </c>
      <c r="J230" s="27">
        <v>1</v>
      </c>
      <c r="K230" s="27">
        <v>0</v>
      </c>
      <c r="L230" s="27">
        <v>0</v>
      </c>
      <c r="M230" s="23">
        <f>SUM(EDProj[[#This Row],[★ Hard Case Voting Machines]:[★ Curbside (Rollie) Voting Machine]])</f>
        <v>7</v>
      </c>
      <c r="N230" s="23">
        <v>1</v>
      </c>
      <c r="O230" s="27">
        <v>5</v>
      </c>
      <c r="P230" s="27">
        <v>1</v>
      </c>
      <c r="Q230" s="23">
        <v>1</v>
      </c>
      <c r="R230" s="27">
        <f>EDProj[[#This Row],[★ Judge]]+EDProj[[#This Row],[★ Alt Judge]]+EDProj[[#This Row],[★ Clerks]]</f>
        <v>7</v>
      </c>
      <c r="S230" s="28">
        <v>750</v>
      </c>
      <c r="T230" s="23">
        <f>EDProj[[#This Row],[★ Ballot Cards]]/250</f>
        <v>3</v>
      </c>
      <c r="U230" s="38">
        <f>EDProj[[#This Row],[★ Soft Case (ADA) Voting Machines]]+EDProj[[#This Row],[Old EPB Allocation]]</f>
        <v>5</v>
      </c>
      <c r="V230" s="38">
        <f>EDProj[[#This Row],[Tables Needed]]</f>
        <v>5</v>
      </c>
      <c r="W230" s="27">
        <v>0</v>
      </c>
      <c r="X230" s="27">
        <v>0</v>
      </c>
      <c r="Y230" s="23">
        <f>ROUNDUP(IF(EDProj[[#This Row],[Tables Needed]]-EDProj[[#This Row],[Tables Provided by the Vote Center]]&lt;0,0,EDProj[[#This Row],[Tables Needed]]-EDProj[[#This Row],[Tables Provided by the Vote Center]]),0)</f>
        <v>5</v>
      </c>
      <c r="Z230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231" spans="1:26" ht="13.9">
      <c r="A231" s="23" t="s">
        <v>294</v>
      </c>
      <c r="B231" s="24" t="s">
        <v>295</v>
      </c>
      <c r="C231" s="73" t="s">
        <v>675</v>
      </c>
      <c r="D231" s="25" t="s">
        <v>714</v>
      </c>
      <c r="E231" s="26" t="s">
        <v>715</v>
      </c>
      <c r="F231" s="92">
        <v>225</v>
      </c>
      <c r="G231" s="27">
        <v>4</v>
      </c>
      <c r="H231" s="27">
        <v>4</v>
      </c>
      <c r="I231" s="27">
        <v>3</v>
      </c>
      <c r="J231" s="27">
        <v>1</v>
      </c>
      <c r="K231" s="27">
        <v>0</v>
      </c>
      <c r="L231" s="27">
        <v>1</v>
      </c>
      <c r="M231" s="23">
        <f>SUM(EDProj[[#This Row],[★ Hard Case Voting Machines]:[★ Curbside (Rollie) Voting Machine]])</f>
        <v>5</v>
      </c>
      <c r="N231" s="23">
        <v>1</v>
      </c>
      <c r="O231" s="27">
        <v>4</v>
      </c>
      <c r="P231" s="27">
        <v>1</v>
      </c>
      <c r="Q231" s="23">
        <v>1</v>
      </c>
      <c r="R231" s="27">
        <f>EDProj[[#This Row],[★ Judge]]+EDProj[[#This Row],[★ Alt Judge]]+EDProj[[#This Row],[★ Clerks]]</f>
        <v>6</v>
      </c>
      <c r="S231" s="28">
        <v>500</v>
      </c>
      <c r="T231" s="23">
        <f>EDProj[[#This Row],[★ Ballot Cards]]/250</f>
        <v>2</v>
      </c>
      <c r="U231" s="38">
        <f>EDProj[[#This Row],[★ Soft Case (ADA) Voting Machines]]+EDProj[[#This Row],[Old EPB Allocation]]</f>
        <v>5</v>
      </c>
      <c r="V231" s="38">
        <f>EDProj[[#This Row],[Tables Needed]]</f>
        <v>5</v>
      </c>
      <c r="W231" s="27">
        <v>10</v>
      </c>
      <c r="X231" s="27">
        <v>150</v>
      </c>
      <c r="Y231" s="23">
        <f>ROUNDUP(IF(EDProj[[#This Row],[Tables Needed]]-EDProj[[#This Row],[Tables Provided by the Vote Center]]&lt;0,0,EDProj[[#This Row],[Tables Needed]]-EDProj[[#This Row],[Tables Provided by the Vote Center]]),0)</f>
        <v>0</v>
      </c>
      <c r="Z231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232" spans="1:26" ht="13.9">
      <c r="A232" s="23" t="s">
        <v>294</v>
      </c>
      <c r="B232" s="24" t="s">
        <v>295</v>
      </c>
      <c r="C232" s="73" t="s">
        <v>675</v>
      </c>
      <c r="D232" s="25" t="s">
        <v>716</v>
      </c>
      <c r="E232" s="26" t="s">
        <v>717</v>
      </c>
      <c r="F232" s="92">
        <v>197</v>
      </c>
      <c r="G232" s="27">
        <v>4</v>
      </c>
      <c r="H232" s="27">
        <v>4</v>
      </c>
      <c r="I232" s="27">
        <v>3</v>
      </c>
      <c r="J232" s="27">
        <v>1</v>
      </c>
      <c r="K232" s="27">
        <v>0</v>
      </c>
      <c r="L232" s="27">
        <v>0</v>
      </c>
      <c r="M232" s="23">
        <f>SUM(EDProj[[#This Row],[★ Hard Case Voting Machines]:[★ Curbside (Rollie) Voting Machine]])</f>
        <v>4</v>
      </c>
      <c r="N232" s="23">
        <v>1</v>
      </c>
      <c r="O232" s="27">
        <v>4</v>
      </c>
      <c r="P232" s="27">
        <v>1</v>
      </c>
      <c r="Q232" s="23">
        <v>1</v>
      </c>
      <c r="R232" s="27">
        <f>EDProj[[#This Row],[★ Judge]]+EDProj[[#This Row],[★ Alt Judge]]+EDProj[[#This Row],[★ Clerks]]</f>
        <v>6</v>
      </c>
      <c r="S232" s="28">
        <v>500</v>
      </c>
      <c r="T232" s="23">
        <f>EDProj[[#This Row],[★ Ballot Cards]]/250</f>
        <v>2</v>
      </c>
      <c r="U232" s="38">
        <f>EDProj[[#This Row],[★ Soft Case (ADA) Voting Machines]]+EDProj[[#This Row],[Old EPB Allocation]]</f>
        <v>5</v>
      </c>
      <c r="V232" s="38">
        <f>EDProj[[#This Row],[Tables Needed]]</f>
        <v>5</v>
      </c>
      <c r="W232" s="27">
        <v>0</v>
      </c>
      <c r="X232" s="27">
        <v>0</v>
      </c>
      <c r="Y232" s="23">
        <f>ROUNDUP(IF(EDProj[[#This Row],[Tables Needed]]-EDProj[[#This Row],[Tables Provided by the Vote Center]]&lt;0,0,EDProj[[#This Row],[Tables Needed]]-EDProj[[#This Row],[Tables Provided by the Vote Center]]),0)</f>
        <v>5</v>
      </c>
      <c r="Z232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233" spans="1:26" ht="13.9">
      <c r="A233" s="23" t="s">
        <v>294</v>
      </c>
      <c r="B233" s="24" t="s">
        <v>295</v>
      </c>
      <c r="C233" s="73" t="s">
        <v>675</v>
      </c>
      <c r="D233" s="25" t="s">
        <v>718</v>
      </c>
      <c r="E233" s="26" t="s">
        <v>719</v>
      </c>
      <c r="F233" s="92">
        <v>247</v>
      </c>
      <c r="G233" s="27">
        <v>4</v>
      </c>
      <c r="H233" s="27">
        <v>4</v>
      </c>
      <c r="I233" s="27">
        <v>3</v>
      </c>
      <c r="J233" s="27">
        <v>1</v>
      </c>
      <c r="K233" s="27">
        <v>0</v>
      </c>
      <c r="L233" s="27">
        <v>0</v>
      </c>
      <c r="M233" s="23">
        <f>SUM(EDProj[[#This Row],[★ Hard Case Voting Machines]:[★ Curbside (Rollie) Voting Machine]])</f>
        <v>4</v>
      </c>
      <c r="N233" s="23">
        <v>1</v>
      </c>
      <c r="O233" s="27">
        <v>4</v>
      </c>
      <c r="P233" s="27">
        <v>1</v>
      </c>
      <c r="Q233" s="23">
        <v>1</v>
      </c>
      <c r="R233" s="27">
        <f>EDProj[[#This Row],[★ Judge]]+EDProj[[#This Row],[★ Alt Judge]]+EDProj[[#This Row],[★ Clerks]]</f>
        <v>6</v>
      </c>
      <c r="S233" s="28">
        <v>500</v>
      </c>
      <c r="T233" s="23">
        <f>EDProj[[#This Row],[★ Ballot Cards]]/250</f>
        <v>2</v>
      </c>
      <c r="U233" s="38">
        <f>EDProj[[#This Row],[★ Soft Case (ADA) Voting Machines]]+EDProj[[#This Row],[Old EPB Allocation]]</f>
        <v>5</v>
      </c>
      <c r="V233" s="38">
        <f>EDProj[[#This Row],[Tables Needed]]</f>
        <v>5</v>
      </c>
      <c r="W233" s="27">
        <v>3</v>
      </c>
      <c r="X233" s="27">
        <v>8</v>
      </c>
      <c r="Y233" s="23">
        <f>ROUNDUP(IF(EDProj[[#This Row],[Tables Needed]]-EDProj[[#This Row],[Tables Provided by the Vote Center]]&lt;0,0,EDProj[[#This Row],[Tables Needed]]-EDProj[[#This Row],[Tables Provided by the Vote Center]]),0)</f>
        <v>2</v>
      </c>
      <c r="Z233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234" spans="1:26" ht="13.9">
      <c r="A234" s="23" t="s">
        <v>294</v>
      </c>
      <c r="B234" s="24" t="s">
        <v>295</v>
      </c>
      <c r="C234" s="73" t="s">
        <v>675</v>
      </c>
      <c r="D234" s="25" t="s">
        <v>720</v>
      </c>
      <c r="E234" s="26" t="s">
        <v>721</v>
      </c>
      <c r="F234" s="92">
        <v>320</v>
      </c>
      <c r="G234" s="27">
        <v>4</v>
      </c>
      <c r="H234" s="27">
        <v>4</v>
      </c>
      <c r="I234" s="27">
        <v>6</v>
      </c>
      <c r="J234" s="27">
        <v>1</v>
      </c>
      <c r="K234" s="27">
        <v>0</v>
      </c>
      <c r="L234" s="27">
        <v>0</v>
      </c>
      <c r="M234" s="23">
        <f>SUM(EDProj[[#This Row],[★ Hard Case Voting Machines]:[★ Curbside (Rollie) Voting Machine]])</f>
        <v>7</v>
      </c>
      <c r="N234" s="23">
        <v>1</v>
      </c>
      <c r="O234" s="27">
        <v>5</v>
      </c>
      <c r="P234" s="27">
        <v>1</v>
      </c>
      <c r="Q234" s="23">
        <v>1</v>
      </c>
      <c r="R234" s="27">
        <f>EDProj[[#This Row],[★ Judge]]+EDProj[[#This Row],[★ Alt Judge]]+EDProj[[#This Row],[★ Clerks]]</f>
        <v>7</v>
      </c>
      <c r="S234" s="28">
        <v>750</v>
      </c>
      <c r="T234" s="23">
        <f>EDProj[[#This Row],[★ Ballot Cards]]/250</f>
        <v>3</v>
      </c>
      <c r="U234" s="38">
        <f>EDProj[[#This Row],[★ Soft Case (ADA) Voting Machines]]+EDProj[[#This Row],[Old EPB Allocation]]</f>
        <v>5</v>
      </c>
      <c r="V234" s="38">
        <f>EDProj[[#This Row],[Tables Needed]]</f>
        <v>5</v>
      </c>
      <c r="W234" s="27">
        <v>0</v>
      </c>
      <c r="X234" s="27">
        <v>0</v>
      </c>
      <c r="Y234" s="23">
        <f>ROUNDUP(IF(EDProj[[#This Row],[Tables Needed]]-EDProj[[#This Row],[Tables Provided by the Vote Center]]&lt;0,0,EDProj[[#This Row],[Tables Needed]]-EDProj[[#This Row],[Tables Provided by the Vote Center]]),0)</f>
        <v>5</v>
      </c>
      <c r="Z234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235" spans="1:26" ht="13.9">
      <c r="A235" s="23" t="s">
        <v>294</v>
      </c>
      <c r="B235" s="24" t="s">
        <v>295</v>
      </c>
      <c r="C235" s="73" t="s">
        <v>675</v>
      </c>
      <c r="D235" s="25" t="s">
        <v>722</v>
      </c>
      <c r="E235" s="26" t="s">
        <v>723</v>
      </c>
      <c r="F235" s="92">
        <v>212</v>
      </c>
      <c r="G235" s="27">
        <v>4</v>
      </c>
      <c r="H235" s="27">
        <v>4</v>
      </c>
      <c r="I235" s="27">
        <v>4</v>
      </c>
      <c r="J235" s="27">
        <v>1</v>
      </c>
      <c r="K235" s="27">
        <v>0</v>
      </c>
      <c r="L235" s="27">
        <v>0</v>
      </c>
      <c r="M235" s="23">
        <f>SUM(EDProj[[#This Row],[★ Hard Case Voting Machines]:[★ Curbside (Rollie) Voting Machine]])</f>
        <v>5</v>
      </c>
      <c r="N235" s="23">
        <v>1</v>
      </c>
      <c r="O235" s="27">
        <v>5</v>
      </c>
      <c r="P235" s="27">
        <v>1</v>
      </c>
      <c r="Q235" s="23">
        <v>1</v>
      </c>
      <c r="R235" s="27">
        <f>EDProj[[#This Row],[★ Judge]]+EDProj[[#This Row],[★ Alt Judge]]+EDProj[[#This Row],[★ Clerks]]</f>
        <v>7</v>
      </c>
      <c r="S235" s="28">
        <v>500</v>
      </c>
      <c r="T235" s="23">
        <f>EDProj[[#This Row],[★ Ballot Cards]]/250</f>
        <v>2</v>
      </c>
      <c r="U235" s="38">
        <f>EDProj[[#This Row],[★ Soft Case (ADA) Voting Machines]]+EDProj[[#This Row],[Old EPB Allocation]]</f>
        <v>5</v>
      </c>
      <c r="V235" s="38">
        <f>EDProj[[#This Row],[Tables Needed]]</f>
        <v>5</v>
      </c>
      <c r="W235" s="27">
        <v>4</v>
      </c>
      <c r="X235" s="27">
        <v>10</v>
      </c>
      <c r="Y235" s="23">
        <f>ROUNDUP(IF(EDProj[[#This Row],[Tables Needed]]-EDProj[[#This Row],[Tables Provided by the Vote Center]]&lt;0,0,EDProj[[#This Row],[Tables Needed]]-EDProj[[#This Row],[Tables Provided by the Vote Center]]),0)</f>
        <v>1</v>
      </c>
      <c r="Z235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236" spans="1:26" ht="13.9">
      <c r="A236" s="23" t="s">
        <v>113</v>
      </c>
      <c r="B236" s="24" t="s">
        <v>214</v>
      </c>
      <c r="C236" s="73" t="s">
        <v>675</v>
      </c>
      <c r="D236" s="30" t="s">
        <v>213</v>
      </c>
      <c r="E236" s="31" t="s">
        <v>215</v>
      </c>
      <c r="F236" s="93">
        <v>1164</v>
      </c>
      <c r="G236" s="27">
        <v>4</v>
      </c>
      <c r="H236" s="27">
        <v>4</v>
      </c>
      <c r="I236" s="27">
        <v>10</v>
      </c>
      <c r="J236" s="27">
        <v>1</v>
      </c>
      <c r="K236" s="27">
        <v>1</v>
      </c>
      <c r="L236" s="27">
        <v>1</v>
      </c>
      <c r="M236" s="23">
        <f>SUM(EDProj[[#This Row],[★ Hard Case Voting Machines]:[★ Curbside (Rollie) Voting Machine]])</f>
        <v>13</v>
      </c>
      <c r="N236" s="23">
        <v>1</v>
      </c>
      <c r="O236" s="27">
        <v>7</v>
      </c>
      <c r="P236" s="27">
        <v>1</v>
      </c>
      <c r="Q236" s="23">
        <v>1</v>
      </c>
      <c r="R236" s="27">
        <f>EDProj[[#This Row],[★ Judge]]+EDProj[[#This Row],[★ Alt Judge]]+EDProj[[#This Row],[★ Clerks]]</f>
        <v>9</v>
      </c>
      <c r="S236" s="28">
        <v>1000</v>
      </c>
      <c r="T236" s="23">
        <f>EDProj[[#This Row],[★ Ballot Cards]]/250</f>
        <v>4</v>
      </c>
      <c r="U236" s="38">
        <f>EDProj[[#This Row],[★ Soft Case (ADA) Voting Machines]]+EDProj[[#This Row],[Old EPB Allocation]]</f>
        <v>5</v>
      </c>
      <c r="V236" s="38">
        <f>EDProj[[#This Row],[Tables Needed]]</f>
        <v>5</v>
      </c>
      <c r="W236" s="27">
        <v>0</v>
      </c>
      <c r="X236" s="27">
        <v>0</v>
      </c>
      <c r="Y236" s="23">
        <f>ROUNDUP(IF(EDProj[[#This Row],[Tables Needed]]-EDProj[[#This Row],[Tables Provided by the Vote Center]]&lt;0,0,EDProj[[#This Row],[Tables Needed]]-EDProj[[#This Row],[Tables Provided by the Vote Center]]),0)</f>
        <v>5</v>
      </c>
      <c r="Z236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237" spans="1:26" ht="13.9">
      <c r="A237" s="23" t="s">
        <v>294</v>
      </c>
      <c r="B237" s="24" t="s">
        <v>295</v>
      </c>
      <c r="C237" s="73" t="s">
        <v>675</v>
      </c>
      <c r="D237" s="25" t="s">
        <v>724</v>
      </c>
      <c r="E237" s="26" t="s">
        <v>725</v>
      </c>
      <c r="F237" s="92">
        <v>142</v>
      </c>
      <c r="G237" s="27">
        <v>4</v>
      </c>
      <c r="H237" s="27">
        <v>4</v>
      </c>
      <c r="I237" s="27">
        <v>2</v>
      </c>
      <c r="J237" s="27">
        <v>1</v>
      </c>
      <c r="K237" s="27">
        <v>0</v>
      </c>
      <c r="L237" s="27">
        <v>0</v>
      </c>
      <c r="M237" s="23">
        <f>SUM(EDProj[[#This Row],[★ Hard Case Voting Machines]:[★ Curbside (Rollie) Voting Machine]])</f>
        <v>3</v>
      </c>
      <c r="N237" s="23">
        <v>1</v>
      </c>
      <c r="O237" s="27">
        <v>4</v>
      </c>
      <c r="P237" s="27">
        <v>1</v>
      </c>
      <c r="Q237" s="23">
        <v>1</v>
      </c>
      <c r="R237" s="27">
        <f>EDProj[[#This Row],[★ Judge]]+EDProj[[#This Row],[★ Alt Judge]]+EDProj[[#This Row],[★ Clerks]]</f>
        <v>6</v>
      </c>
      <c r="S237" s="28">
        <v>500</v>
      </c>
      <c r="T237" s="23">
        <f>EDProj[[#This Row],[★ Ballot Cards]]/250</f>
        <v>2</v>
      </c>
      <c r="U237" s="38">
        <f>EDProj[[#This Row],[★ Soft Case (ADA) Voting Machines]]+EDProj[[#This Row],[Old EPB Allocation]]</f>
        <v>5</v>
      </c>
      <c r="V237" s="38">
        <f>EDProj[[#This Row],[Tables Needed]]</f>
        <v>5</v>
      </c>
      <c r="W237" s="27">
        <v>0</v>
      </c>
      <c r="X237" s="27">
        <v>0</v>
      </c>
      <c r="Y237" s="23">
        <f>ROUNDUP(IF(EDProj[[#This Row],[Tables Needed]]-EDProj[[#This Row],[Tables Provided by the Vote Center]]&lt;0,0,EDProj[[#This Row],[Tables Needed]]-EDProj[[#This Row],[Tables Provided by the Vote Center]]),0)</f>
        <v>5</v>
      </c>
      <c r="Z237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238" spans="1:26" ht="13.9">
      <c r="A238" s="23" t="s">
        <v>294</v>
      </c>
      <c r="B238" s="24" t="s">
        <v>295</v>
      </c>
      <c r="C238" s="73" t="s">
        <v>675</v>
      </c>
      <c r="D238" s="25" t="s">
        <v>726</v>
      </c>
      <c r="E238" s="26" t="s">
        <v>727</v>
      </c>
      <c r="F238" s="92">
        <v>302</v>
      </c>
      <c r="G238" s="27">
        <v>4</v>
      </c>
      <c r="H238" s="27">
        <v>4</v>
      </c>
      <c r="I238" s="27">
        <v>6</v>
      </c>
      <c r="J238" s="27">
        <v>1</v>
      </c>
      <c r="K238" s="27">
        <v>0</v>
      </c>
      <c r="L238" s="27">
        <v>0</v>
      </c>
      <c r="M238" s="23">
        <f>SUM(EDProj[[#This Row],[★ Hard Case Voting Machines]:[★ Curbside (Rollie) Voting Machine]])</f>
        <v>7</v>
      </c>
      <c r="N238" s="23">
        <v>1</v>
      </c>
      <c r="O238" s="27">
        <v>5</v>
      </c>
      <c r="P238" s="27">
        <v>1</v>
      </c>
      <c r="Q238" s="23">
        <v>1</v>
      </c>
      <c r="R238" s="27">
        <f>EDProj[[#This Row],[★ Judge]]+EDProj[[#This Row],[★ Alt Judge]]+EDProj[[#This Row],[★ Clerks]]</f>
        <v>7</v>
      </c>
      <c r="S238" s="28">
        <v>500</v>
      </c>
      <c r="T238" s="23">
        <f>EDProj[[#This Row],[★ Ballot Cards]]/250</f>
        <v>2</v>
      </c>
      <c r="U238" s="38">
        <f>EDProj[[#This Row],[★ Soft Case (ADA) Voting Machines]]+EDProj[[#This Row],[Old EPB Allocation]]</f>
        <v>5</v>
      </c>
      <c r="V238" s="38">
        <f>EDProj[[#This Row],[Tables Needed]]</f>
        <v>5</v>
      </c>
      <c r="W238" s="27">
        <v>0</v>
      </c>
      <c r="X238" s="27">
        <v>0</v>
      </c>
      <c r="Y238" s="23">
        <f>ROUNDUP(IF(EDProj[[#This Row],[Tables Needed]]-EDProj[[#This Row],[Tables Provided by the Vote Center]]&lt;0,0,EDProj[[#This Row],[Tables Needed]]-EDProj[[#This Row],[Tables Provided by the Vote Center]]),0)</f>
        <v>5</v>
      </c>
      <c r="Z238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239" spans="1:26" ht="13.9">
      <c r="A239" s="23" t="s">
        <v>294</v>
      </c>
      <c r="B239" s="24" t="s">
        <v>295</v>
      </c>
      <c r="C239" s="73" t="s">
        <v>675</v>
      </c>
      <c r="D239" s="25" t="s">
        <v>728</v>
      </c>
      <c r="E239" s="26" t="s">
        <v>729</v>
      </c>
      <c r="F239" s="92">
        <v>383</v>
      </c>
      <c r="G239" s="27">
        <v>4</v>
      </c>
      <c r="H239" s="27">
        <v>4</v>
      </c>
      <c r="I239" s="27">
        <v>7</v>
      </c>
      <c r="J239" s="27">
        <v>1</v>
      </c>
      <c r="K239" s="27">
        <v>0</v>
      </c>
      <c r="L239" s="27">
        <v>0</v>
      </c>
      <c r="M239" s="23">
        <f>SUM(EDProj[[#This Row],[★ Hard Case Voting Machines]:[★ Curbside (Rollie) Voting Machine]])</f>
        <v>8</v>
      </c>
      <c r="N239" s="23">
        <v>1</v>
      </c>
      <c r="O239" s="27">
        <v>5</v>
      </c>
      <c r="P239" s="27">
        <v>1</v>
      </c>
      <c r="Q239" s="23">
        <v>1</v>
      </c>
      <c r="R239" s="27">
        <f>EDProj[[#This Row],[★ Judge]]+EDProj[[#This Row],[★ Alt Judge]]+EDProj[[#This Row],[★ Clerks]]</f>
        <v>7</v>
      </c>
      <c r="S239" s="28">
        <v>750</v>
      </c>
      <c r="T239" s="23">
        <f>EDProj[[#This Row],[★ Ballot Cards]]/250</f>
        <v>3</v>
      </c>
      <c r="U239" s="38">
        <f>EDProj[[#This Row],[★ Soft Case (ADA) Voting Machines]]+EDProj[[#This Row],[Old EPB Allocation]]</f>
        <v>5</v>
      </c>
      <c r="V239" s="38">
        <f>EDProj[[#This Row],[Tables Needed]]</f>
        <v>5</v>
      </c>
      <c r="W239" s="27">
        <v>10</v>
      </c>
      <c r="X239" s="27">
        <v>10</v>
      </c>
      <c r="Y239" s="23">
        <f>ROUNDUP(IF(EDProj[[#This Row],[Tables Needed]]-EDProj[[#This Row],[Tables Provided by the Vote Center]]&lt;0,0,EDProj[[#This Row],[Tables Needed]]-EDProj[[#This Row],[Tables Provided by the Vote Center]]),0)</f>
        <v>0</v>
      </c>
      <c r="Z239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240" spans="1:26" ht="13.9">
      <c r="A240" s="23" t="s">
        <v>113</v>
      </c>
      <c r="B240" s="24" t="s">
        <v>235</v>
      </c>
      <c r="C240" s="73" t="s">
        <v>675</v>
      </c>
      <c r="D240" s="25" t="s">
        <v>234</v>
      </c>
      <c r="E240" s="26" t="s">
        <v>236</v>
      </c>
      <c r="F240" s="92">
        <v>1200</v>
      </c>
      <c r="G240" s="27">
        <v>4.5</v>
      </c>
      <c r="H240" s="27">
        <v>5</v>
      </c>
      <c r="I240" s="27">
        <v>11</v>
      </c>
      <c r="J240" s="27">
        <v>1</v>
      </c>
      <c r="K240" s="27">
        <v>1</v>
      </c>
      <c r="L240" s="27">
        <v>1</v>
      </c>
      <c r="M240" s="23">
        <f>SUM(EDProj[[#This Row],[★ Hard Case Voting Machines]:[★ Curbside (Rollie) Voting Machine]])</f>
        <v>14</v>
      </c>
      <c r="N240" s="23">
        <v>1</v>
      </c>
      <c r="O240" s="27">
        <v>8</v>
      </c>
      <c r="P240" s="27">
        <v>1</v>
      </c>
      <c r="Q240" s="23">
        <v>1</v>
      </c>
      <c r="R240" s="27">
        <f>EDProj[[#This Row],[★ Judge]]+EDProj[[#This Row],[★ Alt Judge]]+EDProj[[#This Row],[★ Clerks]]</f>
        <v>10</v>
      </c>
      <c r="S240" s="28">
        <v>1750</v>
      </c>
      <c r="T240" s="23">
        <f>EDProj[[#This Row],[★ Ballot Cards]]/250</f>
        <v>7</v>
      </c>
      <c r="U240" s="38">
        <f>EDProj[[#This Row],[★ Soft Case (ADA) Voting Machines]]+EDProj[[#This Row],[Old EPB Allocation]]</f>
        <v>5.5</v>
      </c>
      <c r="V240" s="38">
        <f>EDProj[[#This Row],[Tables Needed]]</f>
        <v>5.5</v>
      </c>
      <c r="W240" s="27">
        <v>6</v>
      </c>
      <c r="X240" s="27">
        <v>20</v>
      </c>
      <c r="Y240" s="23">
        <f>ROUNDUP(IF(EDProj[[#This Row],[Tables Needed]]-EDProj[[#This Row],[Tables Provided by the Vote Center]]&lt;0,0,EDProj[[#This Row],[Tables Needed]]-EDProj[[#This Row],[Tables Provided by the Vote Center]]),0)</f>
        <v>0</v>
      </c>
      <c r="Z240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241" spans="1:26" ht="13.9">
      <c r="A241" s="23" t="s">
        <v>294</v>
      </c>
      <c r="B241" s="24" t="s">
        <v>295</v>
      </c>
      <c r="C241" s="73" t="s">
        <v>675</v>
      </c>
      <c r="D241" s="25" t="s">
        <v>730</v>
      </c>
      <c r="E241" s="26" t="s">
        <v>731</v>
      </c>
      <c r="F241" s="92">
        <v>163</v>
      </c>
      <c r="G241" s="27">
        <v>4</v>
      </c>
      <c r="H241" s="27">
        <v>4</v>
      </c>
      <c r="I241" s="27">
        <v>3</v>
      </c>
      <c r="J241" s="27">
        <v>1</v>
      </c>
      <c r="K241" s="27">
        <v>0</v>
      </c>
      <c r="L241" s="27">
        <v>0</v>
      </c>
      <c r="M241" s="23">
        <f>SUM(EDProj[[#This Row],[★ Hard Case Voting Machines]:[★ Curbside (Rollie) Voting Machine]])</f>
        <v>4</v>
      </c>
      <c r="N241" s="23">
        <v>1</v>
      </c>
      <c r="O241" s="27">
        <v>4</v>
      </c>
      <c r="P241" s="27">
        <v>1</v>
      </c>
      <c r="Q241" s="23">
        <v>1</v>
      </c>
      <c r="R241" s="27">
        <f>EDProj[[#This Row],[★ Judge]]+EDProj[[#This Row],[★ Alt Judge]]+EDProj[[#This Row],[★ Clerks]]</f>
        <v>6</v>
      </c>
      <c r="S241" s="28">
        <v>500</v>
      </c>
      <c r="T241" s="23">
        <f>EDProj[[#This Row],[★ Ballot Cards]]/250</f>
        <v>2</v>
      </c>
      <c r="U241" s="38">
        <f>EDProj[[#This Row],[★ Soft Case (ADA) Voting Machines]]+EDProj[[#This Row],[Old EPB Allocation]]</f>
        <v>5</v>
      </c>
      <c r="V241" s="38">
        <f>EDProj[[#This Row],[Tables Needed]]</f>
        <v>5</v>
      </c>
      <c r="W241" s="27">
        <v>0</v>
      </c>
      <c r="X241" s="27">
        <v>0</v>
      </c>
      <c r="Y241" s="23">
        <f>ROUNDUP(IF(EDProj[[#This Row],[Tables Needed]]-EDProj[[#This Row],[Tables Provided by the Vote Center]]&lt;0,0,EDProj[[#This Row],[Tables Needed]]-EDProj[[#This Row],[Tables Provided by the Vote Center]]),0)</f>
        <v>5</v>
      </c>
      <c r="Z241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242" spans="1:26" ht="13.9">
      <c r="A242" s="23" t="s">
        <v>294</v>
      </c>
      <c r="B242" s="24" t="s">
        <v>295</v>
      </c>
      <c r="C242" s="73" t="s">
        <v>675</v>
      </c>
      <c r="D242" s="25" t="s">
        <v>732</v>
      </c>
      <c r="E242" s="26" t="s">
        <v>733</v>
      </c>
      <c r="F242" s="92">
        <v>285</v>
      </c>
      <c r="G242" s="27">
        <v>4</v>
      </c>
      <c r="H242" s="27">
        <v>4</v>
      </c>
      <c r="I242" s="27">
        <v>4</v>
      </c>
      <c r="J242" s="27">
        <v>1</v>
      </c>
      <c r="K242" s="27">
        <v>0</v>
      </c>
      <c r="L242" s="27">
        <v>0</v>
      </c>
      <c r="M242" s="23">
        <f>SUM(EDProj[[#This Row],[★ Hard Case Voting Machines]:[★ Curbside (Rollie) Voting Machine]])</f>
        <v>5</v>
      </c>
      <c r="N242" s="23">
        <v>1</v>
      </c>
      <c r="O242" s="27">
        <v>5</v>
      </c>
      <c r="P242" s="27">
        <v>1</v>
      </c>
      <c r="Q242" s="23">
        <v>1</v>
      </c>
      <c r="R242" s="27">
        <f>EDProj[[#This Row],[★ Judge]]+EDProj[[#This Row],[★ Alt Judge]]+EDProj[[#This Row],[★ Clerks]]</f>
        <v>7</v>
      </c>
      <c r="S242" s="28">
        <v>500</v>
      </c>
      <c r="T242" s="23">
        <f>EDProj[[#This Row],[★ Ballot Cards]]/250</f>
        <v>2</v>
      </c>
      <c r="U242" s="38">
        <f>EDProj[[#This Row],[★ Soft Case (ADA) Voting Machines]]+EDProj[[#This Row],[Old EPB Allocation]]</f>
        <v>5</v>
      </c>
      <c r="V242" s="38">
        <f>EDProj[[#This Row],[Tables Needed]]</f>
        <v>5</v>
      </c>
      <c r="W242" s="27">
        <v>0</v>
      </c>
      <c r="X242" s="27">
        <v>0</v>
      </c>
      <c r="Y242" s="23">
        <f>ROUNDUP(IF(EDProj[[#This Row],[Tables Needed]]-EDProj[[#This Row],[Tables Provided by the Vote Center]]&lt;0,0,EDProj[[#This Row],[Tables Needed]]-EDProj[[#This Row],[Tables Provided by the Vote Center]]),0)</f>
        <v>5</v>
      </c>
      <c r="Z242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243" spans="1:26" ht="13.9">
      <c r="A243" s="23" t="s">
        <v>294</v>
      </c>
      <c r="B243" s="24" t="s">
        <v>295</v>
      </c>
      <c r="C243" s="73" t="s">
        <v>675</v>
      </c>
      <c r="D243" s="30" t="s">
        <v>734</v>
      </c>
      <c r="E243" s="31" t="s">
        <v>735</v>
      </c>
      <c r="F243" s="93">
        <v>408</v>
      </c>
      <c r="G243" s="27">
        <v>4</v>
      </c>
      <c r="H243" s="27">
        <v>4</v>
      </c>
      <c r="I243" s="27">
        <v>7</v>
      </c>
      <c r="J243" s="27">
        <v>1</v>
      </c>
      <c r="K243" s="27">
        <v>0</v>
      </c>
      <c r="L243" s="27">
        <v>0</v>
      </c>
      <c r="M243" s="23">
        <f>SUM(EDProj[[#This Row],[★ Hard Case Voting Machines]:[★ Curbside (Rollie) Voting Machine]])</f>
        <v>8</v>
      </c>
      <c r="N243" s="23">
        <v>1</v>
      </c>
      <c r="O243" s="27">
        <v>6</v>
      </c>
      <c r="P243" s="27">
        <v>1</v>
      </c>
      <c r="Q243" s="23">
        <v>1</v>
      </c>
      <c r="R243" s="27">
        <f>EDProj[[#This Row],[★ Judge]]+EDProj[[#This Row],[★ Alt Judge]]+EDProj[[#This Row],[★ Clerks]]</f>
        <v>8</v>
      </c>
      <c r="S243" s="28">
        <v>750</v>
      </c>
      <c r="T243" s="23">
        <f>EDProj[[#This Row],[★ Ballot Cards]]/250</f>
        <v>3</v>
      </c>
      <c r="U243" s="38">
        <f>EDProj[[#This Row],[★ Soft Case (ADA) Voting Machines]]+EDProj[[#This Row],[Old EPB Allocation]]</f>
        <v>5</v>
      </c>
      <c r="V243" s="38">
        <f>EDProj[[#This Row],[Tables Needed]]</f>
        <v>5</v>
      </c>
      <c r="W243" s="27">
        <v>0</v>
      </c>
      <c r="X243" s="27">
        <v>0</v>
      </c>
      <c r="Y243" s="23">
        <f>ROUNDUP(IF(EDProj[[#This Row],[Tables Needed]]-EDProj[[#This Row],[Tables Provided by the Vote Center]]&lt;0,0,EDProj[[#This Row],[Tables Needed]]-EDProj[[#This Row],[Tables Provided by the Vote Center]]),0)</f>
        <v>5</v>
      </c>
      <c r="Z243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244" spans="1:26" ht="13.9">
      <c r="A244" s="23" t="s">
        <v>294</v>
      </c>
      <c r="B244" s="24" t="s">
        <v>295</v>
      </c>
      <c r="C244" s="73" t="s">
        <v>675</v>
      </c>
      <c r="D244" s="25" t="s">
        <v>736</v>
      </c>
      <c r="E244" s="26" t="s">
        <v>737</v>
      </c>
      <c r="F244" s="92">
        <v>307</v>
      </c>
      <c r="G244" s="27">
        <v>4</v>
      </c>
      <c r="H244" s="27">
        <v>4</v>
      </c>
      <c r="I244" s="27">
        <v>5</v>
      </c>
      <c r="J244" s="27">
        <v>1</v>
      </c>
      <c r="K244" s="27">
        <v>0</v>
      </c>
      <c r="L244" s="27">
        <v>0</v>
      </c>
      <c r="M244" s="23">
        <f>SUM(EDProj[[#This Row],[★ Hard Case Voting Machines]:[★ Curbside (Rollie) Voting Machine]])</f>
        <v>6</v>
      </c>
      <c r="N244" s="23">
        <v>1</v>
      </c>
      <c r="O244" s="27">
        <v>5</v>
      </c>
      <c r="P244" s="27">
        <v>1</v>
      </c>
      <c r="Q244" s="23">
        <v>1</v>
      </c>
      <c r="R244" s="27">
        <f>EDProj[[#This Row],[★ Judge]]+EDProj[[#This Row],[★ Alt Judge]]+EDProj[[#This Row],[★ Clerks]]</f>
        <v>7</v>
      </c>
      <c r="S244" s="28">
        <v>500</v>
      </c>
      <c r="T244" s="23">
        <f>EDProj[[#This Row],[★ Ballot Cards]]/250</f>
        <v>2</v>
      </c>
      <c r="U244" s="38">
        <f>EDProj[[#This Row],[★ Soft Case (ADA) Voting Machines]]+EDProj[[#This Row],[Old EPB Allocation]]</f>
        <v>5</v>
      </c>
      <c r="V244" s="38">
        <f>EDProj[[#This Row],[Tables Needed]]</f>
        <v>5</v>
      </c>
      <c r="W244" s="27">
        <v>0</v>
      </c>
      <c r="X244" s="27">
        <v>0</v>
      </c>
      <c r="Y244" s="23">
        <f>ROUNDUP(IF(EDProj[[#This Row],[Tables Needed]]-EDProj[[#This Row],[Tables Provided by the Vote Center]]&lt;0,0,EDProj[[#This Row],[Tables Needed]]-EDProj[[#This Row],[Tables Provided by the Vote Center]]),0)</f>
        <v>5</v>
      </c>
      <c r="Z244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245" spans="1:26" ht="13.9">
      <c r="A245" s="23" t="s">
        <v>113</v>
      </c>
      <c r="B245" s="24" t="s">
        <v>256</v>
      </c>
      <c r="C245" s="73" t="s">
        <v>675</v>
      </c>
      <c r="D245" s="30" t="s">
        <v>255</v>
      </c>
      <c r="E245" s="31" t="s">
        <v>257</v>
      </c>
      <c r="F245" s="93">
        <v>1134</v>
      </c>
      <c r="G245" s="27">
        <v>5</v>
      </c>
      <c r="H245" s="27">
        <v>6</v>
      </c>
      <c r="I245" s="27">
        <v>19</v>
      </c>
      <c r="J245" s="27">
        <v>1</v>
      </c>
      <c r="K245" s="27">
        <v>2</v>
      </c>
      <c r="L245" s="27">
        <v>0</v>
      </c>
      <c r="M245" s="23">
        <f>SUM(EDProj[[#This Row],[★ Hard Case Voting Machines]:[★ Curbside (Rollie) Voting Machine]])</f>
        <v>22</v>
      </c>
      <c r="N245" s="23">
        <v>1</v>
      </c>
      <c r="O245" s="27">
        <v>11</v>
      </c>
      <c r="P245" s="27">
        <v>1</v>
      </c>
      <c r="Q245" s="23">
        <v>1</v>
      </c>
      <c r="R245" s="27">
        <f>EDProj[[#This Row],[★ Judge]]+EDProj[[#This Row],[★ Alt Judge]]+EDProj[[#This Row],[★ Clerks]]</f>
        <v>13</v>
      </c>
      <c r="S245" s="28">
        <v>1750</v>
      </c>
      <c r="T245" s="23">
        <f>EDProj[[#This Row],[★ Ballot Cards]]/250</f>
        <v>7</v>
      </c>
      <c r="U245" s="38">
        <f>EDProj[[#This Row],[★ Soft Case (ADA) Voting Machines]]+EDProj[[#This Row],[Old EPB Allocation]]</f>
        <v>6</v>
      </c>
      <c r="V245" s="38">
        <f>EDProj[[#This Row],[Tables Needed]]</f>
        <v>6</v>
      </c>
      <c r="W245" s="27">
        <v>0</v>
      </c>
      <c r="X245" s="27">
        <v>0</v>
      </c>
      <c r="Y245" s="23">
        <f>ROUNDUP(IF(EDProj[[#This Row],[Tables Needed]]-EDProj[[#This Row],[Tables Provided by the Vote Center]]&lt;0,0,EDProj[[#This Row],[Tables Needed]]-EDProj[[#This Row],[Tables Provided by the Vote Center]]),0)</f>
        <v>6</v>
      </c>
      <c r="Z245" s="23">
        <f>ROUNDUP(IF(EDProj[[#This Row],[Chairs Needed]]-EDProj[[#This Row],[Chairs Provided by the Vote Center]]&lt;0,0,EDProj[[#This Row],[Chairs Needed]]-EDProj[[#This Row],[Chairs Provided by the Vote Center]]),0)</f>
        <v>6</v>
      </c>
    </row>
    <row r="246" spans="1:26" ht="13.9">
      <c r="A246" s="23" t="s">
        <v>294</v>
      </c>
      <c r="B246" s="24" t="s">
        <v>295</v>
      </c>
      <c r="C246" s="73" t="s">
        <v>675</v>
      </c>
      <c r="D246" s="25" t="s">
        <v>738</v>
      </c>
      <c r="E246" s="26" t="s">
        <v>739</v>
      </c>
      <c r="F246" s="92">
        <v>329</v>
      </c>
      <c r="G246" s="27">
        <v>4</v>
      </c>
      <c r="H246" s="27">
        <v>4</v>
      </c>
      <c r="I246" s="27">
        <v>4</v>
      </c>
      <c r="J246" s="27">
        <v>1</v>
      </c>
      <c r="K246" s="27">
        <v>0</v>
      </c>
      <c r="L246" s="27">
        <v>0</v>
      </c>
      <c r="M246" s="23">
        <f>SUM(EDProj[[#This Row],[★ Hard Case Voting Machines]:[★ Curbside (Rollie) Voting Machine]])</f>
        <v>5</v>
      </c>
      <c r="N246" s="23">
        <v>1</v>
      </c>
      <c r="O246" s="27">
        <v>5</v>
      </c>
      <c r="P246" s="27">
        <v>1</v>
      </c>
      <c r="Q246" s="23">
        <v>1</v>
      </c>
      <c r="R246" s="27">
        <f>EDProj[[#This Row],[★ Judge]]+EDProj[[#This Row],[★ Alt Judge]]+EDProj[[#This Row],[★ Clerks]]</f>
        <v>7</v>
      </c>
      <c r="S246" s="28">
        <v>750</v>
      </c>
      <c r="T246" s="23">
        <f>EDProj[[#This Row],[★ Ballot Cards]]/250</f>
        <v>3</v>
      </c>
      <c r="U246" s="38">
        <f>EDProj[[#This Row],[★ Soft Case (ADA) Voting Machines]]+EDProj[[#This Row],[Old EPB Allocation]]</f>
        <v>5</v>
      </c>
      <c r="V246" s="38">
        <f>EDProj[[#This Row],[Tables Needed]]</f>
        <v>5</v>
      </c>
      <c r="W246" s="27">
        <v>0</v>
      </c>
      <c r="X246" s="27">
        <v>0</v>
      </c>
      <c r="Y246" s="23">
        <f>ROUNDUP(IF(EDProj[[#This Row],[Tables Needed]]-EDProj[[#This Row],[Tables Provided by the Vote Center]]&lt;0,0,EDProj[[#This Row],[Tables Needed]]-EDProj[[#This Row],[Tables Provided by the Vote Center]]),0)</f>
        <v>5</v>
      </c>
      <c r="Z246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247" spans="1:26" ht="13.9">
      <c r="A247" s="23" t="s">
        <v>294</v>
      </c>
      <c r="B247" s="24" t="s">
        <v>295</v>
      </c>
      <c r="C247" s="73" t="s">
        <v>675</v>
      </c>
      <c r="D247" s="25" t="s">
        <v>740</v>
      </c>
      <c r="E247" s="26" t="s">
        <v>741</v>
      </c>
      <c r="F247" s="92">
        <v>849</v>
      </c>
      <c r="G247" s="27">
        <v>4</v>
      </c>
      <c r="H247" s="27">
        <v>4</v>
      </c>
      <c r="I247" s="27">
        <v>11</v>
      </c>
      <c r="J247" s="27">
        <v>1</v>
      </c>
      <c r="K247" s="27">
        <v>0</v>
      </c>
      <c r="L247" s="27">
        <v>0</v>
      </c>
      <c r="M247" s="23">
        <f>SUM(EDProj[[#This Row],[★ Hard Case Voting Machines]:[★ Curbside (Rollie) Voting Machine]])</f>
        <v>12</v>
      </c>
      <c r="N247" s="23">
        <v>1</v>
      </c>
      <c r="O247" s="27">
        <v>7</v>
      </c>
      <c r="P247" s="27">
        <v>1</v>
      </c>
      <c r="Q247" s="23">
        <v>1</v>
      </c>
      <c r="R247" s="27">
        <f>EDProj[[#This Row],[★ Judge]]+EDProj[[#This Row],[★ Alt Judge]]+EDProj[[#This Row],[★ Clerks]]</f>
        <v>9</v>
      </c>
      <c r="S247" s="28">
        <v>1500</v>
      </c>
      <c r="T247" s="23">
        <f>EDProj[[#This Row],[★ Ballot Cards]]/250</f>
        <v>6</v>
      </c>
      <c r="U247" s="38">
        <f>EDProj[[#This Row],[★ Soft Case (ADA) Voting Machines]]+EDProj[[#This Row],[Old EPB Allocation]]</f>
        <v>5</v>
      </c>
      <c r="V247" s="38">
        <f>EDProj[[#This Row],[Tables Needed]]</f>
        <v>5</v>
      </c>
      <c r="W247" s="27">
        <v>10</v>
      </c>
      <c r="X247" s="27">
        <v>10</v>
      </c>
      <c r="Y247" s="23">
        <f>ROUNDUP(IF(EDProj[[#This Row],[Tables Needed]]-EDProj[[#This Row],[Tables Provided by the Vote Center]]&lt;0,0,EDProj[[#This Row],[Tables Needed]]-EDProj[[#This Row],[Tables Provided by the Vote Center]]),0)</f>
        <v>0</v>
      </c>
      <c r="Z247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248" spans="1:26" ht="13.9">
      <c r="A248" s="23" t="s">
        <v>294</v>
      </c>
      <c r="B248" s="24" t="s">
        <v>295</v>
      </c>
      <c r="C248" s="73" t="s">
        <v>675</v>
      </c>
      <c r="D248" s="25" t="s">
        <v>742</v>
      </c>
      <c r="E248" s="26" t="s">
        <v>743</v>
      </c>
      <c r="F248" s="92">
        <v>1343</v>
      </c>
      <c r="G248" s="27">
        <v>4</v>
      </c>
      <c r="H248" s="27">
        <v>4</v>
      </c>
      <c r="I248" s="27">
        <v>18</v>
      </c>
      <c r="J248" s="27">
        <v>1</v>
      </c>
      <c r="K248" s="27">
        <v>0</v>
      </c>
      <c r="L248" s="27">
        <v>0</v>
      </c>
      <c r="M248" s="23">
        <f>SUM(EDProj[[#This Row],[★ Hard Case Voting Machines]:[★ Curbside (Rollie) Voting Machine]])</f>
        <v>19</v>
      </c>
      <c r="N248" s="23">
        <v>1</v>
      </c>
      <c r="O248" s="27">
        <v>9</v>
      </c>
      <c r="P248" s="27">
        <v>1</v>
      </c>
      <c r="Q248" s="23">
        <v>1</v>
      </c>
      <c r="R248" s="27">
        <f>EDProj[[#This Row],[★ Judge]]+EDProj[[#This Row],[★ Alt Judge]]+EDProj[[#This Row],[★ Clerks]]</f>
        <v>11</v>
      </c>
      <c r="S248" s="28">
        <v>2250</v>
      </c>
      <c r="T248" s="23">
        <f>EDProj[[#This Row],[★ Ballot Cards]]/250</f>
        <v>9</v>
      </c>
      <c r="U248" s="38">
        <f>EDProj[[#This Row],[★ Soft Case (ADA) Voting Machines]]+EDProj[[#This Row],[Old EPB Allocation]]</f>
        <v>5</v>
      </c>
      <c r="V248" s="38">
        <f>EDProj[[#This Row],[Tables Needed]]</f>
        <v>5</v>
      </c>
      <c r="W248" s="27">
        <v>0</v>
      </c>
      <c r="X248" s="27">
        <v>0</v>
      </c>
      <c r="Y248" s="23">
        <f>ROUNDUP(IF(EDProj[[#This Row],[Tables Needed]]-EDProj[[#This Row],[Tables Provided by the Vote Center]]&lt;0,0,EDProj[[#This Row],[Tables Needed]]-EDProj[[#This Row],[Tables Provided by the Vote Center]]),0)</f>
        <v>5</v>
      </c>
      <c r="Z248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249" spans="1:26" ht="13.9">
      <c r="A249" s="23" t="s">
        <v>113</v>
      </c>
      <c r="B249" s="24" t="s">
        <v>247</v>
      </c>
      <c r="C249" s="73" t="s">
        <v>675</v>
      </c>
      <c r="D249" s="30" t="s">
        <v>246</v>
      </c>
      <c r="E249" s="31" t="s">
        <v>248</v>
      </c>
      <c r="F249" s="93">
        <v>816</v>
      </c>
      <c r="G249" s="27">
        <v>4</v>
      </c>
      <c r="H249" s="27">
        <v>5</v>
      </c>
      <c r="I249" s="27">
        <v>9</v>
      </c>
      <c r="J249" s="27">
        <v>1</v>
      </c>
      <c r="K249" s="27">
        <v>1</v>
      </c>
      <c r="L249" s="27">
        <v>1</v>
      </c>
      <c r="M249" s="23">
        <f>SUM(EDProj[[#This Row],[★ Hard Case Voting Machines]:[★ Curbside (Rollie) Voting Machine]])</f>
        <v>12</v>
      </c>
      <c r="N249" s="23">
        <v>1</v>
      </c>
      <c r="O249" s="27">
        <v>7</v>
      </c>
      <c r="P249" s="27">
        <v>1</v>
      </c>
      <c r="Q249" s="23">
        <v>1</v>
      </c>
      <c r="R249" s="27">
        <f>EDProj[[#This Row],[★ Judge]]+EDProj[[#This Row],[★ Alt Judge]]+EDProj[[#This Row],[★ Clerks]]</f>
        <v>9</v>
      </c>
      <c r="S249" s="28">
        <v>1000</v>
      </c>
      <c r="T249" s="23">
        <f>EDProj[[#This Row],[★ Ballot Cards]]/250</f>
        <v>4</v>
      </c>
      <c r="U249" s="38">
        <f>EDProj[[#This Row],[★ Soft Case (ADA) Voting Machines]]+EDProj[[#This Row],[Old EPB Allocation]]</f>
        <v>5</v>
      </c>
      <c r="V249" s="38">
        <f>EDProj[[#This Row],[Tables Needed]]</f>
        <v>5</v>
      </c>
      <c r="W249" s="27">
        <v>0</v>
      </c>
      <c r="X249" s="27">
        <v>0</v>
      </c>
      <c r="Y249" s="23">
        <f>ROUNDUP(IF(EDProj[[#This Row],[Tables Needed]]-EDProj[[#This Row],[Tables Provided by the Vote Center]]&lt;0,0,EDProj[[#This Row],[Tables Needed]]-EDProj[[#This Row],[Tables Provided by the Vote Center]]),0)</f>
        <v>5</v>
      </c>
      <c r="Z249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250" spans="1:26" ht="13.9">
      <c r="A250" s="23" t="s">
        <v>294</v>
      </c>
      <c r="B250" s="24" t="s">
        <v>295</v>
      </c>
      <c r="C250" s="73" t="s">
        <v>675</v>
      </c>
      <c r="D250" s="25" t="s">
        <v>744</v>
      </c>
      <c r="E250" s="26" t="s">
        <v>745</v>
      </c>
      <c r="F250" s="92">
        <v>223</v>
      </c>
      <c r="G250" s="27">
        <v>4</v>
      </c>
      <c r="H250" s="27">
        <v>4</v>
      </c>
      <c r="I250" s="27">
        <v>4</v>
      </c>
      <c r="J250" s="27">
        <v>1</v>
      </c>
      <c r="K250" s="27">
        <v>0</v>
      </c>
      <c r="L250" s="27">
        <v>0</v>
      </c>
      <c r="M250" s="23">
        <f>SUM(EDProj[[#This Row],[★ Hard Case Voting Machines]:[★ Curbside (Rollie) Voting Machine]])</f>
        <v>5</v>
      </c>
      <c r="N250" s="23">
        <v>1</v>
      </c>
      <c r="O250" s="27">
        <v>5</v>
      </c>
      <c r="P250" s="27">
        <v>1</v>
      </c>
      <c r="Q250" s="23">
        <v>1</v>
      </c>
      <c r="R250" s="27">
        <f>EDProj[[#This Row],[★ Judge]]+EDProj[[#This Row],[★ Alt Judge]]+EDProj[[#This Row],[★ Clerks]]</f>
        <v>7</v>
      </c>
      <c r="S250" s="28">
        <v>500</v>
      </c>
      <c r="T250" s="23">
        <f>EDProj[[#This Row],[★ Ballot Cards]]/250</f>
        <v>2</v>
      </c>
      <c r="U250" s="38">
        <f>EDProj[[#This Row],[★ Soft Case (ADA) Voting Machines]]+EDProj[[#This Row],[Old EPB Allocation]]</f>
        <v>5</v>
      </c>
      <c r="V250" s="38">
        <f>EDProj[[#This Row],[Tables Needed]]</f>
        <v>5</v>
      </c>
      <c r="W250" s="27">
        <v>4</v>
      </c>
      <c r="X250" s="27">
        <v>20</v>
      </c>
      <c r="Y250" s="23">
        <f>ROUNDUP(IF(EDProj[[#This Row],[Tables Needed]]-EDProj[[#This Row],[Tables Provided by the Vote Center]]&lt;0,0,EDProj[[#This Row],[Tables Needed]]-EDProj[[#This Row],[Tables Provided by the Vote Center]]),0)</f>
        <v>1</v>
      </c>
      <c r="Z250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251" spans="1:26" ht="13.9">
      <c r="A251" s="23" t="s">
        <v>294</v>
      </c>
      <c r="B251" s="24" t="s">
        <v>295</v>
      </c>
      <c r="C251" s="73" t="s">
        <v>746</v>
      </c>
      <c r="D251" s="25" t="s">
        <v>747</v>
      </c>
      <c r="E251" s="26" t="s">
        <v>748</v>
      </c>
      <c r="F251" s="92">
        <v>351</v>
      </c>
      <c r="G251" s="27">
        <v>4</v>
      </c>
      <c r="H251" s="27">
        <v>4</v>
      </c>
      <c r="I251" s="27">
        <v>5</v>
      </c>
      <c r="J251" s="27">
        <v>1</v>
      </c>
      <c r="K251" s="27">
        <v>0</v>
      </c>
      <c r="L251" s="27">
        <v>0</v>
      </c>
      <c r="M251" s="23">
        <f>SUM(EDProj[[#This Row],[★ Hard Case Voting Machines]:[★ Curbside (Rollie) Voting Machine]])</f>
        <v>6</v>
      </c>
      <c r="N251" s="23">
        <v>1</v>
      </c>
      <c r="O251" s="27">
        <v>5</v>
      </c>
      <c r="P251" s="27">
        <v>1</v>
      </c>
      <c r="Q251" s="23">
        <v>1</v>
      </c>
      <c r="R251" s="27">
        <f>EDProj[[#This Row],[★ Judge]]+EDProj[[#This Row],[★ Alt Judge]]+EDProj[[#This Row],[★ Clerks]]</f>
        <v>7</v>
      </c>
      <c r="S251" s="28">
        <v>750</v>
      </c>
      <c r="T251" s="23">
        <f>EDProj[[#This Row],[★ Ballot Cards]]/250</f>
        <v>3</v>
      </c>
      <c r="U251" s="38">
        <f>EDProj[[#This Row],[★ Soft Case (ADA) Voting Machines]]+EDProj[[#This Row],[Old EPB Allocation]]</f>
        <v>5</v>
      </c>
      <c r="V251" s="38">
        <f>EDProj[[#This Row],[Tables Needed]]</f>
        <v>5</v>
      </c>
      <c r="W251" s="27">
        <v>20</v>
      </c>
      <c r="X251" s="27">
        <v>100</v>
      </c>
      <c r="Y251" s="23">
        <f>ROUNDUP(IF(EDProj[[#This Row],[Tables Needed]]-EDProj[[#This Row],[Tables Provided by the Vote Center]]&lt;0,0,EDProj[[#This Row],[Tables Needed]]-EDProj[[#This Row],[Tables Provided by the Vote Center]]),0)</f>
        <v>0</v>
      </c>
      <c r="Z251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252" spans="1:26" ht="13.9">
      <c r="A252" s="23" t="s">
        <v>294</v>
      </c>
      <c r="B252" s="24" t="s">
        <v>295</v>
      </c>
      <c r="C252" s="73" t="s">
        <v>746</v>
      </c>
      <c r="D252" s="25" t="s">
        <v>749</v>
      </c>
      <c r="E252" s="26" t="s">
        <v>750</v>
      </c>
      <c r="F252" s="92">
        <v>1352</v>
      </c>
      <c r="G252" s="27">
        <v>4</v>
      </c>
      <c r="H252" s="27">
        <v>4</v>
      </c>
      <c r="I252" s="27">
        <v>2</v>
      </c>
      <c r="J252" s="27">
        <v>1</v>
      </c>
      <c r="K252" s="27">
        <v>0</v>
      </c>
      <c r="L252" s="27">
        <v>0</v>
      </c>
      <c r="M252" s="23">
        <f>SUM(EDProj[[#This Row],[★ Hard Case Voting Machines]:[★ Curbside (Rollie) Voting Machine]])</f>
        <v>3</v>
      </c>
      <c r="N252" s="23">
        <v>1</v>
      </c>
      <c r="O252" s="27">
        <v>7</v>
      </c>
      <c r="P252" s="27">
        <v>1</v>
      </c>
      <c r="Q252" s="23">
        <v>1</v>
      </c>
      <c r="R252" s="27">
        <f>EDProj[[#This Row],[★ Judge]]+EDProj[[#This Row],[★ Alt Judge]]+EDProj[[#This Row],[★ Clerks]]</f>
        <v>9</v>
      </c>
      <c r="S252" s="28">
        <v>2250</v>
      </c>
      <c r="T252" s="23">
        <f>EDProj[[#This Row],[★ Ballot Cards]]/250</f>
        <v>9</v>
      </c>
      <c r="U252" s="38">
        <f>EDProj[[#This Row],[★ Soft Case (ADA) Voting Machines]]+EDProj[[#This Row],[Old EPB Allocation]]</f>
        <v>5</v>
      </c>
      <c r="V252" s="38">
        <f>EDProj[[#This Row],[Tables Needed]]</f>
        <v>5</v>
      </c>
      <c r="W252" s="27">
        <v>4</v>
      </c>
      <c r="X252" s="27">
        <v>10</v>
      </c>
      <c r="Y252" s="23">
        <f>ROUNDUP(IF(EDProj[[#This Row],[Tables Needed]]-EDProj[[#This Row],[Tables Provided by the Vote Center]]&lt;0,0,EDProj[[#This Row],[Tables Needed]]-EDProj[[#This Row],[Tables Provided by the Vote Center]]),0)</f>
        <v>1</v>
      </c>
      <c r="Z252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253" spans="1:26" ht="13.9">
      <c r="A253" s="23" t="s">
        <v>294</v>
      </c>
      <c r="B253" s="24" t="s">
        <v>295</v>
      </c>
      <c r="C253" s="73" t="s">
        <v>746</v>
      </c>
      <c r="D253" s="30" t="s">
        <v>751</v>
      </c>
      <c r="E253" s="31" t="s">
        <v>752</v>
      </c>
      <c r="F253" s="93">
        <v>58</v>
      </c>
      <c r="G253" s="27">
        <v>4</v>
      </c>
      <c r="H253" s="27">
        <v>4</v>
      </c>
      <c r="I253" s="27">
        <v>2</v>
      </c>
      <c r="J253" s="27">
        <v>1</v>
      </c>
      <c r="K253" s="27">
        <v>0</v>
      </c>
      <c r="L253" s="27">
        <v>0</v>
      </c>
      <c r="M253" s="23">
        <f>SUM(EDProj[[#This Row],[★ Hard Case Voting Machines]:[★ Curbside (Rollie) Voting Machine]])</f>
        <v>3</v>
      </c>
      <c r="N253" s="23">
        <v>1</v>
      </c>
      <c r="O253" s="27">
        <v>4</v>
      </c>
      <c r="P253" s="27">
        <v>1</v>
      </c>
      <c r="Q253" s="23">
        <v>1</v>
      </c>
      <c r="R253" s="27">
        <f>EDProj[[#This Row],[★ Judge]]+EDProj[[#This Row],[★ Alt Judge]]+EDProj[[#This Row],[★ Clerks]]</f>
        <v>6</v>
      </c>
      <c r="S253" s="28">
        <v>500</v>
      </c>
      <c r="T253" s="23">
        <f>EDProj[[#This Row],[★ Ballot Cards]]/250</f>
        <v>2</v>
      </c>
      <c r="U253" s="38">
        <f>EDProj[[#This Row],[★ Soft Case (ADA) Voting Machines]]+EDProj[[#This Row],[Old EPB Allocation]]</f>
        <v>5</v>
      </c>
      <c r="V253" s="38">
        <f>EDProj[[#This Row],[Tables Needed]]</f>
        <v>5</v>
      </c>
      <c r="W253" s="27">
        <v>0</v>
      </c>
      <c r="X253" s="27">
        <v>0</v>
      </c>
      <c r="Y253" s="23">
        <f>ROUNDUP(IF(EDProj[[#This Row],[Tables Needed]]-EDProj[[#This Row],[Tables Provided by the Vote Center]]&lt;0,0,EDProj[[#This Row],[Tables Needed]]-EDProj[[#This Row],[Tables Provided by the Vote Center]]),0)</f>
        <v>5</v>
      </c>
      <c r="Z253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254" spans="1:26" ht="13.9">
      <c r="A254" s="23" t="s">
        <v>294</v>
      </c>
      <c r="B254" s="24" t="s">
        <v>295</v>
      </c>
      <c r="C254" s="73" t="s">
        <v>746</v>
      </c>
      <c r="D254" s="30" t="s">
        <v>753</v>
      </c>
      <c r="E254" s="31" t="s">
        <v>754</v>
      </c>
      <c r="F254" s="93">
        <v>48</v>
      </c>
      <c r="G254" s="27">
        <v>4</v>
      </c>
      <c r="H254" s="27">
        <v>4</v>
      </c>
      <c r="I254" s="27">
        <v>2</v>
      </c>
      <c r="J254" s="27">
        <v>1</v>
      </c>
      <c r="K254" s="27">
        <v>0</v>
      </c>
      <c r="L254" s="27">
        <v>0</v>
      </c>
      <c r="M254" s="23">
        <f>SUM(EDProj[[#This Row],[★ Hard Case Voting Machines]:[★ Curbside (Rollie) Voting Machine]])</f>
        <v>3</v>
      </c>
      <c r="N254" s="23">
        <v>1</v>
      </c>
      <c r="O254" s="27">
        <v>4</v>
      </c>
      <c r="P254" s="27">
        <v>1</v>
      </c>
      <c r="Q254" s="23">
        <v>1</v>
      </c>
      <c r="R254" s="27">
        <f>EDProj[[#This Row],[★ Judge]]+EDProj[[#This Row],[★ Alt Judge]]+EDProj[[#This Row],[★ Clerks]]</f>
        <v>6</v>
      </c>
      <c r="S254" s="28">
        <v>500</v>
      </c>
      <c r="T254" s="23">
        <f>EDProj[[#This Row],[★ Ballot Cards]]/250</f>
        <v>2</v>
      </c>
      <c r="U254" s="38">
        <f>EDProj[[#This Row],[★ Soft Case (ADA) Voting Machines]]+EDProj[[#This Row],[Old EPB Allocation]]</f>
        <v>5</v>
      </c>
      <c r="V254" s="38">
        <f>EDProj[[#This Row],[Tables Needed]]</f>
        <v>5</v>
      </c>
      <c r="W254" s="27">
        <v>10</v>
      </c>
      <c r="X254" s="27">
        <v>20</v>
      </c>
      <c r="Y254" s="23">
        <f>ROUNDUP(IF(EDProj[[#This Row],[Tables Needed]]-EDProj[[#This Row],[Tables Provided by the Vote Center]]&lt;0,0,EDProj[[#This Row],[Tables Needed]]-EDProj[[#This Row],[Tables Provided by the Vote Center]]),0)</f>
        <v>0</v>
      </c>
      <c r="Z254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255" spans="1:26" ht="13.9">
      <c r="A255" s="23" t="s">
        <v>113</v>
      </c>
      <c r="B255" s="24" t="s">
        <v>302</v>
      </c>
      <c r="C255" s="73" t="s">
        <v>746</v>
      </c>
      <c r="D255" s="30" t="s">
        <v>301</v>
      </c>
      <c r="E255" s="31" t="s">
        <v>303</v>
      </c>
      <c r="F255" s="93">
        <v>437</v>
      </c>
      <c r="G255" s="27">
        <v>4</v>
      </c>
      <c r="H255" s="27">
        <v>5</v>
      </c>
      <c r="I255" s="27">
        <v>10</v>
      </c>
      <c r="J255" s="27">
        <v>1</v>
      </c>
      <c r="K255" s="27">
        <v>1</v>
      </c>
      <c r="L255" s="27">
        <v>1</v>
      </c>
      <c r="M255" s="23">
        <f>SUM(EDProj[[#This Row],[★ Hard Case Voting Machines]:[★ Curbside (Rollie) Voting Machine]])</f>
        <v>13</v>
      </c>
      <c r="N255" s="23">
        <v>1</v>
      </c>
      <c r="O255" s="27">
        <v>6</v>
      </c>
      <c r="P255" s="27">
        <v>1</v>
      </c>
      <c r="Q255" s="23">
        <v>1</v>
      </c>
      <c r="R255" s="27">
        <f>EDProj[[#This Row],[★ Judge]]+EDProj[[#This Row],[★ Alt Judge]]+EDProj[[#This Row],[★ Clerks]]</f>
        <v>8</v>
      </c>
      <c r="S255" s="28">
        <v>750</v>
      </c>
      <c r="T255" s="23">
        <f>EDProj[[#This Row],[★ Ballot Cards]]/250</f>
        <v>3</v>
      </c>
      <c r="U255" s="38">
        <f>EDProj[[#This Row],[★ Soft Case (ADA) Voting Machines]]+EDProj[[#This Row],[Old EPB Allocation]]</f>
        <v>5</v>
      </c>
      <c r="V255" s="38">
        <f>EDProj[[#This Row],[Tables Needed]]</f>
        <v>5</v>
      </c>
      <c r="W255" s="27">
        <v>2</v>
      </c>
      <c r="X255" s="27">
        <v>2</v>
      </c>
      <c r="Y255" s="23">
        <f>ROUNDUP(IF(EDProj[[#This Row],[Tables Needed]]-EDProj[[#This Row],[Tables Provided by the Vote Center]]&lt;0,0,EDProj[[#This Row],[Tables Needed]]-EDProj[[#This Row],[Tables Provided by the Vote Center]]),0)</f>
        <v>3</v>
      </c>
      <c r="Z255" s="23">
        <f>ROUNDUP(IF(EDProj[[#This Row],[Chairs Needed]]-EDProj[[#This Row],[Chairs Provided by the Vote Center]]&lt;0,0,EDProj[[#This Row],[Chairs Needed]]-EDProj[[#This Row],[Chairs Provided by the Vote Center]]),0)</f>
        <v>3</v>
      </c>
    </row>
    <row r="256" spans="1:26" ht="13.9">
      <c r="A256" s="23" t="s">
        <v>294</v>
      </c>
      <c r="B256" s="24" t="s">
        <v>295</v>
      </c>
      <c r="C256" s="73" t="s">
        <v>746</v>
      </c>
      <c r="D256" s="30" t="s">
        <v>755</v>
      </c>
      <c r="E256" s="31" t="s">
        <v>756</v>
      </c>
      <c r="F256" s="93">
        <v>630</v>
      </c>
      <c r="G256" s="27">
        <v>4</v>
      </c>
      <c r="H256" s="27">
        <v>4</v>
      </c>
      <c r="I256" s="27">
        <v>10</v>
      </c>
      <c r="J256" s="27">
        <v>1</v>
      </c>
      <c r="K256" s="27">
        <v>0</v>
      </c>
      <c r="L256" s="27">
        <v>0</v>
      </c>
      <c r="M256" s="23">
        <f>SUM(EDProj[[#This Row],[★ Hard Case Voting Machines]:[★ Curbside (Rollie) Voting Machine]])</f>
        <v>11</v>
      </c>
      <c r="N256" s="23">
        <v>1</v>
      </c>
      <c r="O256" s="27">
        <v>6</v>
      </c>
      <c r="P256" s="23">
        <v>1</v>
      </c>
      <c r="Q256" s="23">
        <v>1</v>
      </c>
      <c r="R256" s="27">
        <f>EDProj[[#This Row],[★ Judge]]+EDProj[[#This Row],[★ Alt Judge]]+EDProj[[#This Row],[★ Clerks]]</f>
        <v>8</v>
      </c>
      <c r="S256" s="28">
        <v>1250</v>
      </c>
      <c r="T256" s="23">
        <f>EDProj[[#This Row],[★ Ballot Cards]]/250</f>
        <v>5</v>
      </c>
      <c r="U256" s="38">
        <f>EDProj[[#This Row],[★ Soft Case (ADA) Voting Machines]]+EDProj[[#This Row],[Old EPB Allocation]]</f>
        <v>5</v>
      </c>
      <c r="V256" s="38">
        <f>EDProj[[#This Row],[Tables Needed]]</f>
        <v>5</v>
      </c>
      <c r="W256" s="27">
        <v>30</v>
      </c>
      <c r="X256" s="27">
        <v>40</v>
      </c>
      <c r="Y256" s="23">
        <f>ROUNDUP(IF(EDProj[[#This Row],[Tables Needed]]-EDProj[[#This Row],[Tables Provided by the Vote Center]]&lt;0,0,EDProj[[#This Row],[Tables Needed]]-EDProj[[#This Row],[Tables Provided by the Vote Center]]),0)</f>
        <v>0</v>
      </c>
      <c r="Z256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257" spans="1:26" ht="13.9">
      <c r="A257" s="23" t="s">
        <v>294</v>
      </c>
      <c r="B257" s="24" t="s">
        <v>295</v>
      </c>
      <c r="C257" s="73" t="s">
        <v>746</v>
      </c>
      <c r="D257" s="36" t="s">
        <v>757</v>
      </c>
      <c r="E257" s="37" t="s">
        <v>758</v>
      </c>
      <c r="F257" s="94">
        <v>173</v>
      </c>
      <c r="G257" s="27">
        <v>4</v>
      </c>
      <c r="H257" s="27">
        <v>4</v>
      </c>
      <c r="I257" s="38">
        <v>3</v>
      </c>
      <c r="J257" s="38">
        <v>1</v>
      </c>
      <c r="K257" s="38">
        <v>0</v>
      </c>
      <c r="L257" s="27">
        <v>0</v>
      </c>
      <c r="M257" s="34">
        <f>SUM(EDProj[[#This Row],[★ Hard Case Voting Machines]:[★ Curbside (Rollie) Voting Machine]])</f>
        <v>4</v>
      </c>
      <c r="N257" s="34">
        <v>1</v>
      </c>
      <c r="O257" s="38">
        <v>4</v>
      </c>
      <c r="P257" s="34">
        <v>1</v>
      </c>
      <c r="Q257" s="23">
        <v>1</v>
      </c>
      <c r="R257" s="38">
        <f>EDProj[[#This Row],[★ Judge]]+EDProj[[#This Row],[★ Alt Judge]]+EDProj[[#This Row],[★ Clerks]]</f>
        <v>6</v>
      </c>
      <c r="S257" s="39">
        <v>500</v>
      </c>
      <c r="T257" s="34">
        <f>EDProj[[#This Row],[★ Ballot Cards]]/250</f>
        <v>2</v>
      </c>
      <c r="U257" s="38">
        <f>EDProj[[#This Row],[★ Soft Case (ADA) Voting Machines]]+EDProj[[#This Row],[Old EPB Allocation]]</f>
        <v>5</v>
      </c>
      <c r="V257" s="38">
        <f>EDProj[[#This Row],[Tables Needed]]</f>
        <v>5</v>
      </c>
      <c r="W257" s="27">
        <v>0</v>
      </c>
      <c r="X257" s="27">
        <v>0</v>
      </c>
      <c r="Y257" s="34">
        <f>ROUNDUP(IF(EDProj[[#This Row],[Tables Needed]]-EDProj[[#This Row],[Tables Provided by the Vote Center]]&lt;0,0,EDProj[[#This Row],[Tables Needed]]-EDProj[[#This Row],[Tables Provided by the Vote Center]]),0)</f>
        <v>5</v>
      </c>
      <c r="Z257" s="34">
        <f>ROUNDUP(IF(EDProj[[#This Row],[Chairs Needed]]-EDProj[[#This Row],[Chairs Provided by the Vote Center]]&lt;0,0,EDProj[[#This Row],[Chairs Needed]]-EDProj[[#This Row],[Chairs Provided by the Vote Center]]),0)</f>
        <v>5</v>
      </c>
    </row>
    <row r="258" spans="1:26" ht="13.9">
      <c r="A258" s="23" t="s">
        <v>294</v>
      </c>
      <c r="B258" s="24" t="s">
        <v>295</v>
      </c>
      <c r="C258" s="73" t="s">
        <v>746</v>
      </c>
      <c r="D258" s="30" t="s">
        <v>759</v>
      </c>
      <c r="E258" s="31" t="s">
        <v>760</v>
      </c>
      <c r="F258" s="93">
        <v>280</v>
      </c>
      <c r="G258" s="27">
        <v>4</v>
      </c>
      <c r="H258" s="27">
        <v>4</v>
      </c>
      <c r="I258" s="27">
        <v>4</v>
      </c>
      <c r="J258" s="27">
        <v>1</v>
      </c>
      <c r="K258" s="27">
        <v>0</v>
      </c>
      <c r="L258" s="27">
        <v>0</v>
      </c>
      <c r="M258" s="23">
        <f>SUM(EDProj[[#This Row],[★ Hard Case Voting Machines]:[★ Curbside (Rollie) Voting Machine]])</f>
        <v>5</v>
      </c>
      <c r="N258" s="23">
        <v>1</v>
      </c>
      <c r="O258" s="27">
        <v>5</v>
      </c>
      <c r="P258" s="27">
        <v>1</v>
      </c>
      <c r="Q258" s="23">
        <v>1</v>
      </c>
      <c r="R258" s="27">
        <f>EDProj[[#This Row],[★ Judge]]+EDProj[[#This Row],[★ Alt Judge]]+EDProj[[#This Row],[★ Clerks]]</f>
        <v>7</v>
      </c>
      <c r="S258" s="28">
        <v>500</v>
      </c>
      <c r="T258" s="23">
        <f>EDProj[[#This Row],[★ Ballot Cards]]/250</f>
        <v>2</v>
      </c>
      <c r="U258" s="38">
        <f>EDProj[[#This Row],[★ Soft Case (ADA) Voting Machines]]+EDProj[[#This Row],[Old EPB Allocation]]</f>
        <v>5</v>
      </c>
      <c r="V258" s="38">
        <f>EDProj[[#This Row],[Tables Needed]]</f>
        <v>5</v>
      </c>
      <c r="W258" s="27">
        <v>0</v>
      </c>
      <c r="X258" s="27">
        <v>0</v>
      </c>
      <c r="Y258" s="23">
        <f>ROUNDUP(IF(EDProj[[#This Row],[Tables Needed]]-EDProj[[#This Row],[Tables Provided by the Vote Center]]&lt;0,0,EDProj[[#This Row],[Tables Needed]]-EDProj[[#This Row],[Tables Provided by the Vote Center]]),0)</f>
        <v>5</v>
      </c>
      <c r="Z258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259" spans="1:26" ht="13.9">
      <c r="A259" s="23" t="s">
        <v>294</v>
      </c>
      <c r="B259" s="24" t="s">
        <v>295</v>
      </c>
      <c r="C259" s="73" t="s">
        <v>746</v>
      </c>
      <c r="D259" s="25" t="s">
        <v>761</v>
      </c>
      <c r="E259" s="26" t="s">
        <v>762</v>
      </c>
      <c r="F259" s="92">
        <v>240</v>
      </c>
      <c r="G259" s="27">
        <v>4</v>
      </c>
      <c r="H259" s="27">
        <v>4</v>
      </c>
      <c r="I259" s="27">
        <v>5</v>
      </c>
      <c r="J259" s="27">
        <v>1</v>
      </c>
      <c r="K259" s="27">
        <v>0</v>
      </c>
      <c r="L259" s="27">
        <v>0</v>
      </c>
      <c r="M259" s="23">
        <f>SUM(EDProj[[#This Row],[★ Hard Case Voting Machines]:[★ Curbside (Rollie) Voting Machine]])</f>
        <v>6</v>
      </c>
      <c r="N259" s="23">
        <v>1</v>
      </c>
      <c r="O259" s="27">
        <v>5</v>
      </c>
      <c r="P259" s="27">
        <v>1</v>
      </c>
      <c r="Q259" s="23">
        <v>1</v>
      </c>
      <c r="R259" s="27">
        <f>EDProj[[#This Row],[★ Judge]]+EDProj[[#This Row],[★ Alt Judge]]+EDProj[[#This Row],[★ Clerks]]</f>
        <v>7</v>
      </c>
      <c r="S259" s="28">
        <v>500</v>
      </c>
      <c r="T259" s="23">
        <f>EDProj[[#This Row],[★ Ballot Cards]]/250</f>
        <v>2</v>
      </c>
      <c r="U259" s="38">
        <f>EDProj[[#This Row],[★ Soft Case (ADA) Voting Machines]]+EDProj[[#This Row],[Old EPB Allocation]]</f>
        <v>5</v>
      </c>
      <c r="V259" s="38">
        <f>EDProj[[#This Row],[Tables Needed]]</f>
        <v>5</v>
      </c>
      <c r="W259" s="27">
        <v>0</v>
      </c>
      <c r="X259" s="27">
        <v>0</v>
      </c>
      <c r="Y259" s="23">
        <f>ROUNDUP(IF(EDProj[[#This Row],[Tables Needed]]-EDProj[[#This Row],[Tables Provided by the Vote Center]]&lt;0,0,EDProj[[#This Row],[Tables Needed]]-EDProj[[#This Row],[Tables Provided by the Vote Center]]),0)</f>
        <v>5</v>
      </c>
      <c r="Z259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260" spans="1:26" ht="13.9">
      <c r="A260" s="23" t="s">
        <v>294</v>
      </c>
      <c r="B260" s="24" t="s">
        <v>295</v>
      </c>
      <c r="C260" s="73" t="s">
        <v>746</v>
      </c>
      <c r="D260" s="25" t="s">
        <v>763</v>
      </c>
      <c r="E260" s="26" t="s">
        <v>764</v>
      </c>
      <c r="F260" s="92">
        <v>250</v>
      </c>
      <c r="G260" s="27">
        <v>4</v>
      </c>
      <c r="H260" s="27">
        <v>4</v>
      </c>
      <c r="I260" s="27">
        <v>4</v>
      </c>
      <c r="J260" s="27">
        <v>1</v>
      </c>
      <c r="K260" s="27">
        <v>0</v>
      </c>
      <c r="L260" s="27">
        <v>0</v>
      </c>
      <c r="M260" s="23">
        <f>SUM(EDProj[[#This Row],[★ Hard Case Voting Machines]:[★ Curbside (Rollie) Voting Machine]])</f>
        <v>5</v>
      </c>
      <c r="N260" s="23">
        <v>1</v>
      </c>
      <c r="O260" s="27">
        <v>5</v>
      </c>
      <c r="P260" s="27">
        <v>1</v>
      </c>
      <c r="Q260" s="23">
        <v>1</v>
      </c>
      <c r="R260" s="27">
        <f>EDProj[[#This Row],[★ Judge]]+EDProj[[#This Row],[★ Alt Judge]]+EDProj[[#This Row],[★ Clerks]]</f>
        <v>7</v>
      </c>
      <c r="S260" s="28">
        <v>500</v>
      </c>
      <c r="T260" s="23">
        <f>EDProj[[#This Row],[★ Ballot Cards]]/250</f>
        <v>2</v>
      </c>
      <c r="U260" s="38">
        <f>EDProj[[#This Row],[★ Soft Case (ADA) Voting Machines]]+EDProj[[#This Row],[Old EPB Allocation]]</f>
        <v>5</v>
      </c>
      <c r="V260" s="38">
        <f>EDProj[[#This Row],[Tables Needed]]</f>
        <v>5</v>
      </c>
      <c r="W260" s="27">
        <v>0</v>
      </c>
      <c r="X260" s="27">
        <v>0</v>
      </c>
      <c r="Y260" s="23">
        <f>ROUNDUP(IF(EDProj[[#This Row],[Tables Needed]]-EDProj[[#This Row],[Tables Provided by the Vote Center]]&lt;0,0,EDProj[[#This Row],[Tables Needed]]-EDProj[[#This Row],[Tables Provided by the Vote Center]]),0)</f>
        <v>5</v>
      </c>
      <c r="Z260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261" spans="1:26" ht="13.9">
      <c r="A261" s="23" t="s">
        <v>113</v>
      </c>
      <c r="B261" s="24" t="s">
        <v>130</v>
      </c>
      <c r="C261" s="73" t="s">
        <v>746</v>
      </c>
      <c r="D261" s="30" t="s">
        <v>129</v>
      </c>
      <c r="E261" s="31" t="s">
        <v>131</v>
      </c>
      <c r="F261" s="93">
        <v>1812</v>
      </c>
      <c r="G261" s="27">
        <v>4</v>
      </c>
      <c r="H261" s="27">
        <v>5</v>
      </c>
      <c r="I261" s="27">
        <v>17</v>
      </c>
      <c r="J261" s="27">
        <v>1</v>
      </c>
      <c r="K261" s="27">
        <v>2</v>
      </c>
      <c r="L261" s="27">
        <v>0</v>
      </c>
      <c r="M261" s="23">
        <f>SUM(EDProj[[#This Row],[★ Hard Case Voting Machines]:[★ Curbside (Rollie) Voting Machine]])</f>
        <v>20</v>
      </c>
      <c r="N261" s="23">
        <v>1</v>
      </c>
      <c r="O261" s="27">
        <v>11</v>
      </c>
      <c r="P261" s="27">
        <v>1</v>
      </c>
      <c r="Q261" s="23">
        <v>1</v>
      </c>
      <c r="R261" s="27">
        <f>EDProj[[#This Row],[★ Judge]]+EDProj[[#This Row],[★ Alt Judge]]+EDProj[[#This Row],[★ Clerks]]</f>
        <v>13</v>
      </c>
      <c r="S261" s="28">
        <v>2750</v>
      </c>
      <c r="T261" s="23">
        <f>EDProj[[#This Row],[★ Ballot Cards]]/250</f>
        <v>11</v>
      </c>
      <c r="U261" s="38">
        <f>EDProj[[#This Row],[★ Soft Case (ADA) Voting Machines]]+EDProj[[#This Row],[Old EPB Allocation]]</f>
        <v>5</v>
      </c>
      <c r="V261" s="38">
        <f>EDProj[[#This Row],[Tables Needed]]</f>
        <v>5</v>
      </c>
      <c r="W261" s="27">
        <v>14</v>
      </c>
      <c r="X261" s="27">
        <v>30</v>
      </c>
      <c r="Y261" s="23">
        <f>ROUNDUP(IF(EDProj[[#This Row],[Tables Needed]]-EDProj[[#This Row],[Tables Provided by the Vote Center]]&lt;0,0,EDProj[[#This Row],[Tables Needed]]-EDProj[[#This Row],[Tables Provided by the Vote Center]]),0)</f>
        <v>0</v>
      </c>
      <c r="Z261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262" spans="1:26" ht="13.9">
      <c r="A262" s="23" t="s">
        <v>294</v>
      </c>
      <c r="B262" s="24" t="s">
        <v>295</v>
      </c>
      <c r="C262" s="73" t="s">
        <v>746</v>
      </c>
      <c r="D262" s="25" t="s">
        <v>765</v>
      </c>
      <c r="E262" s="26" t="s">
        <v>766</v>
      </c>
      <c r="F262" s="92">
        <v>192</v>
      </c>
      <c r="G262" s="27">
        <v>4</v>
      </c>
      <c r="H262" s="27">
        <v>4</v>
      </c>
      <c r="I262" s="27">
        <v>3</v>
      </c>
      <c r="J262" s="27">
        <v>1</v>
      </c>
      <c r="K262" s="27">
        <v>0</v>
      </c>
      <c r="L262" s="27">
        <v>0</v>
      </c>
      <c r="M262" s="23">
        <f>SUM(EDProj[[#This Row],[★ Hard Case Voting Machines]:[★ Curbside (Rollie) Voting Machine]])</f>
        <v>4</v>
      </c>
      <c r="N262" s="23">
        <v>1</v>
      </c>
      <c r="O262" s="27">
        <v>4</v>
      </c>
      <c r="P262" s="27">
        <v>1</v>
      </c>
      <c r="Q262" s="23">
        <v>1</v>
      </c>
      <c r="R262" s="27">
        <f>EDProj[[#This Row],[★ Judge]]+EDProj[[#This Row],[★ Alt Judge]]+EDProj[[#This Row],[★ Clerks]]</f>
        <v>6</v>
      </c>
      <c r="S262" s="28">
        <v>500</v>
      </c>
      <c r="T262" s="23">
        <f>EDProj[[#This Row],[★ Ballot Cards]]/250</f>
        <v>2</v>
      </c>
      <c r="U262" s="38">
        <f>EDProj[[#This Row],[★ Soft Case (ADA) Voting Machines]]+EDProj[[#This Row],[Old EPB Allocation]]</f>
        <v>5</v>
      </c>
      <c r="V262" s="38">
        <f>EDProj[[#This Row],[Tables Needed]]</f>
        <v>5</v>
      </c>
      <c r="W262" s="27">
        <v>0</v>
      </c>
      <c r="X262" s="27">
        <v>0</v>
      </c>
      <c r="Y262" s="23">
        <f>ROUNDUP(IF(EDProj[[#This Row],[Tables Needed]]-EDProj[[#This Row],[Tables Provided by the Vote Center]]&lt;0,0,EDProj[[#This Row],[Tables Needed]]-EDProj[[#This Row],[Tables Provided by the Vote Center]]),0)</f>
        <v>5</v>
      </c>
      <c r="Z262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263" spans="1:26" ht="13.9">
      <c r="A263" s="23" t="s">
        <v>294</v>
      </c>
      <c r="B263" s="24" t="s">
        <v>295</v>
      </c>
      <c r="C263" s="73" t="s">
        <v>746</v>
      </c>
      <c r="D263" s="25" t="s">
        <v>767</v>
      </c>
      <c r="E263" s="26" t="s">
        <v>768</v>
      </c>
      <c r="F263" s="92">
        <v>310</v>
      </c>
      <c r="G263" s="27">
        <v>4</v>
      </c>
      <c r="H263" s="27">
        <v>4</v>
      </c>
      <c r="I263" s="27">
        <v>5</v>
      </c>
      <c r="J263" s="27">
        <v>1</v>
      </c>
      <c r="K263" s="27">
        <v>0</v>
      </c>
      <c r="L263" s="27">
        <v>0</v>
      </c>
      <c r="M263" s="23">
        <f>SUM(EDProj[[#This Row],[★ Hard Case Voting Machines]:[★ Curbside (Rollie) Voting Machine]])</f>
        <v>6</v>
      </c>
      <c r="N263" s="23">
        <v>1</v>
      </c>
      <c r="O263" s="27">
        <v>5</v>
      </c>
      <c r="P263" s="27">
        <v>1</v>
      </c>
      <c r="Q263" s="23">
        <v>1</v>
      </c>
      <c r="R263" s="27">
        <f>EDProj[[#This Row],[★ Judge]]+EDProj[[#This Row],[★ Alt Judge]]+EDProj[[#This Row],[★ Clerks]]</f>
        <v>7</v>
      </c>
      <c r="S263" s="28">
        <v>500</v>
      </c>
      <c r="T263" s="23">
        <f>EDProj[[#This Row],[★ Ballot Cards]]/250</f>
        <v>2</v>
      </c>
      <c r="U263" s="38">
        <f>EDProj[[#This Row],[★ Soft Case (ADA) Voting Machines]]+EDProj[[#This Row],[Old EPB Allocation]]</f>
        <v>5</v>
      </c>
      <c r="V263" s="38">
        <f>EDProj[[#This Row],[Tables Needed]]</f>
        <v>5</v>
      </c>
      <c r="W263" s="27">
        <v>0</v>
      </c>
      <c r="X263" s="27">
        <v>0</v>
      </c>
      <c r="Y263" s="23">
        <f>ROUNDUP(IF(EDProj[[#This Row],[Tables Needed]]-EDProj[[#This Row],[Tables Provided by the Vote Center]]&lt;0,0,EDProj[[#This Row],[Tables Needed]]-EDProj[[#This Row],[Tables Provided by the Vote Center]]),0)</f>
        <v>5</v>
      </c>
      <c r="Z263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264" spans="1:26" ht="13.9">
      <c r="A264" s="23" t="s">
        <v>294</v>
      </c>
      <c r="B264" s="24" t="s">
        <v>295</v>
      </c>
      <c r="C264" s="73" t="s">
        <v>746</v>
      </c>
      <c r="D264" s="30" t="s">
        <v>769</v>
      </c>
      <c r="E264" s="31" t="s">
        <v>770</v>
      </c>
      <c r="F264" s="93">
        <v>448</v>
      </c>
      <c r="G264" s="27">
        <v>4</v>
      </c>
      <c r="H264" s="27">
        <v>4</v>
      </c>
      <c r="I264" s="27">
        <v>8</v>
      </c>
      <c r="J264" s="27">
        <v>1</v>
      </c>
      <c r="K264" s="27">
        <v>0</v>
      </c>
      <c r="L264" s="27">
        <v>0</v>
      </c>
      <c r="M264" s="23">
        <f>SUM(EDProj[[#This Row],[★ Hard Case Voting Machines]:[★ Curbside (Rollie) Voting Machine]])</f>
        <v>9</v>
      </c>
      <c r="N264" s="23">
        <v>1</v>
      </c>
      <c r="O264" s="27">
        <v>6</v>
      </c>
      <c r="P264" s="27">
        <v>1</v>
      </c>
      <c r="Q264" s="23">
        <v>1</v>
      </c>
      <c r="R264" s="27">
        <f>EDProj[[#This Row],[★ Judge]]+EDProj[[#This Row],[★ Alt Judge]]+EDProj[[#This Row],[★ Clerks]]</f>
        <v>8</v>
      </c>
      <c r="S264" s="28">
        <v>750</v>
      </c>
      <c r="T264" s="23">
        <f>EDProj[[#This Row],[★ Ballot Cards]]/250</f>
        <v>3</v>
      </c>
      <c r="U264" s="38">
        <f>EDProj[[#This Row],[★ Soft Case (ADA) Voting Machines]]+EDProj[[#This Row],[Old EPB Allocation]]</f>
        <v>5</v>
      </c>
      <c r="V264" s="38">
        <f>EDProj[[#This Row],[Tables Needed]]</f>
        <v>5</v>
      </c>
      <c r="W264" s="27">
        <v>0</v>
      </c>
      <c r="X264" s="27">
        <v>0</v>
      </c>
      <c r="Y264" s="23">
        <f>ROUNDUP(IF(EDProj[[#This Row],[Tables Needed]]-EDProj[[#This Row],[Tables Provided by the Vote Center]]&lt;0,0,EDProj[[#This Row],[Tables Needed]]-EDProj[[#This Row],[Tables Provided by the Vote Center]]),0)</f>
        <v>5</v>
      </c>
      <c r="Z264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265" spans="1:26" ht="13.9">
      <c r="A265" s="23" t="s">
        <v>294</v>
      </c>
      <c r="B265" s="24" t="s">
        <v>295</v>
      </c>
      <c r="C265" s="73" t="s">
        <v>746</v>
      </c>
      <c r="D265" s="25" t="s">
        <v>771</v>
      </c>
      <c r="E265" s="26" t="s">
        <v>772</v>
      </c>
      <c r="F265" s="92">
        <v>228</v>
      </c>
      <c r="G265" s="27">
        <v>4</v>
      </c>
      <c r="H265" s="27">
        <v>4</v>
      </c>
      <c r="I265" s="27">
        <v>4</v>
      </c>
      <c r="J265" s="27">
        <v>1</v>
      </c>
      <c r="K265" s="27">
        <v>0</v>
      </c>
      <c r="L265" s="27">
        <v>0</v>
      </c>
      <c r="M265" s="23">
        <f>SUM(EDProj[[#This Row],[★ Hard Case Voting Machines]:[★ Curbside (Rollie) Voting Machine]])</f>
        <v>5</v>
      </c>
      <c r="N265" s="23">
        <v>1</v>
      </c>
      <c r="O265" s="27">
        <v>5</v>
      </c>
      <c r="P265" s="27">
        <v>1</v>
      </c>
      <c r="Q265" s="23">
        <v>1</v>
      </c>
      <c r="R265" s="27">
        <f>EDProj[[#This Row],[★ Judge]]+EDProj[[#This Row],[★ Alt Judge]]+EDProj[[#This Row],[★ Clerks]]</f>
        <v>7</v>
      </c>
      <c r="S265" s="28">
        <v>500</v>
      </c>
      <c r="T265" s="23">
        <f>EDProj[[#This Row],[★ Ballot Cards]]/250</f>
        <v>2</v>
      </c>
      <c r="U265" s="38">
        <f>EDProj[[#This Row],[★ Soft Case (ADA) Voting Machines]]+EDProj[[#This Row],[Old EPB Allocation]]</f>
        <v>5</v>
      </c>
      <c r="V265" s="38">
        <f>EDProj[[#This Row],[Tables Needed]]</f>
        <v>5</v>
      </c>
      <c r="W265" s="27">
        <v>0</v>
      </c>
      <c r="X265" s="27">
        <v>0</v>
      </c>
      <c r="Y265" s="23">
        <f>ROUNDUP(IF(EDProj[[#This Row],[Tables Needed]]-EDProj[[#This Row],[Tables Provided by the Vote Center]]&lt;0,0,EDProj[[#This Row],[Tables Needed]]-EDProj[[#This Row],[Tables Provided by the Vote Center]]),0)</f>
        <v>5</v>
      </c>
      <c r="Z265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266" spans="1:26" ht="13.9">
      <c r="A266" s="23" t="s">
        <v>294</v>
      </c>
      <c r="B266" s="24" t="s">
        <v>295</v>
      </c>
      <c r="C266" s="73" t="s">
        <v>746</v>
      </c>
      <c r="D266" s="25" t="s">
        <v>773</v>
      </c>
      <c r="E266" s="26" t="s">
        <v>774</v>
      </c>
      <c r="F266" s="92">
        <v>407</v>
      </c>
      <c r="G266" s="27">
        <v>4</v>
      </c>
      <c r="H266" s="27">
        <v>4</v>
      </c>
      <c r="I266" s="27">
        <v>7</v>
      </c>
      <c r="J266" s="27">
        <v>1</v>
      </c>
      <c r="K266" s="27">
        <v>0</v>
      </c>
      <c r="L266" s="27">
        <v>0</v>
      </c>
      <c r="M266" s="23">
        <f>SUM(EDProj[[#This Row],[★ Hard Case Voting Machines]:[★ Curbside (Rollie) Voting Machine]])</f>
        <v>8</v>
      </c>
      <c r="N266" s="23">
        <v>1</v>
      </c>
      <c r="O266" s="27">
        <v>5</v>
      </c>
      <c r="P266" s="27">
        <v>1</v>
      </c>
      <c r="Q266" s="23">
        <v>1</v>
      </c>
      <c r="R266" s="27">
        <f>EDProj[[#This Row],[★ Judge]]+EDProj[[#This Row],[★ Alt Judge]]+EDProj[[#This Row],[★ Clerks]]</f>
        <v>7</v>
      </c>
      <c r="S266" s="28">
        <v>750</v>
      </c>
      <c r="T266" s="23">
        <f>EDProj[[#This Row],[★ Ballot Cards]]/250</f>
        <v>3</v>
      </c>
      <c r="U266" s="38">
        <f>EDProj[[#This Row],[★ Soft Case (ADA) Voting Machines]]+EDProj[[#This Row],[Old EPB Allocation]]</f>
        <v>5</v>
      </c>
      <c r="V266" s="38">
        <f>EDProj[[#This Row],[Tables Needed]]</f>
        <v>5</v>
      </c>
      <c r="W266" s="27">
        <v>0</v>
      </c>
      <c r="X266" s="27">
        <v>0</v>
      </c>
      <c r="Y266" s="23">
        <f>ROUNDUP(IF(EDProj[[#This Row],[Tables Needed]]-EDProj[[#This Row],[Tables Provided by the Vote Center]]&lt;0,0,EDProj[[#This Row],[Tables Needed]]-EDProj[[#This Row],[Tables Provided by the Vote Center]]),0)</f>
        <v>5</v>
      </c>
      <c r="Z266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267" spans="1:26" ht="13.9">
      <c r="A267" s="23" t="s">
        <v>294</v>
      </c>
      <c r="B267" s="24" t="s">
        <v>295</v>
      </c>
      <c r="C267" s="73" t="s">
        <v>746</v>
      </c>
      <c r="D267" s="25" t="s">
        <v>775</v>
      </c>
      <c r="E267" s="26" t="s">
        <v>776</v>
      </c>
      <c r="F267" s="92">
        <v>187</v>
      </c>
      <c r="G267" s="27">
        <v>4</v>
      </c>
      <c r="H267" s="27">
        <v>4</v>
      </c>
      <c r="I267" s="27">
        <v>3</v>
      </c>
      <c r="J267" s="27">
        <v>1</v>
      </c>
      <c r="K267" s="27">
        <v>0</v>
      </c>
      <c r="L267" s="27">
        <v>0</v>
      </c>
      <c r="M267" s="23">
        <f>SUM(EDProj[[#This Row],[★ Hard Case Voting Machines]:[★ Curbside (Rollie) Voting Machine]])</f>
        <v>4</v>
      </c>
      <c r="N267" s="23">
        <v>1</v>
      </c>
      <c r="O267" s="27">
        <v>4</v>
      </c>
      <c r="P267" s="27">
        <v>1</v>
      </c>
      <c r="Q267" s="23">
        <v>1</v>
      </c>
      <c r="R267" s="27">
        <f>EDProj[[#This Row],[★ Judge]]+EDProj[[#This Row],[★ Alt Judge]]+EDProj[[#This Row],[★ Clerks]]</f>
        <v>6</v>
      </c>
      <c r="S267" s="28">
        <v>500</v>
      </c>
      <c r="T267" s="23">
        <f>EDProj[[#This Row],[★ Ballot Cards]]/250</f>
        <v>2</v>
      </c>
      <c r="U267" s="38">
        <f>EDProj[[#This Row],[★ Soft Case (ADA) Voting Machines]]+EDProj[[#This Row],[Old EPB Allocation]]</f>
        <v>5</v>
      </c>
      <c r="V267" s="38">
        <f>EDProj[[#This Row],[Tables Needed]]</f>
        <v>5</v>
      </c>
      <c r="W267" s="27">
        <v>0</v>
      </c>
      <c r="X267" s="27">
        <v>0</v>
      </c>
      <c r="Y267" s="23">
        <f>ROUNDUP(IF(EDProj[[#This Row],[Tables Needed]]-EDProj[[#This Row],[Tables Provided by the Vote Center]]&lt;0,0,EDProj[[#This Row],[Tables Needed]]-EDProj[[#This Row],[Tables Provided by the Vote Center]]),0)</f>
        <v>5</v>
      </c>
      <c r="Z267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268" spans="1:26" ht="13.9">
      <c r="A268" s="23" t="s">
        <v>113</v>
      </c>
      <c r="B268" s="24" t="s">
        <v>142</v>
      </c>
      <c r="C268" s="73" t="s">
        <v>746</v>
      </c>
      <c r="D268" s="30" t="s">
        <v>141</v>
      </c>
      <c r="E268" s="31" t="s">
        <v>143</v>
      </c>
      <c r="F268" s="93">
        <v>1162</v>
      </c>
      <c r="G268" s="27">
        <v>4</v>
      </c>
      <c r="H268" s="27">
        <v>5</v>
      </c>
      <c r="I268" s="27">
        <v>15</v>
      </c>
      <c r="J268" s="27">
        <v>1</v>
      </c>
      <c r="K268" s="27">
        <v>2</v>
      </c>
      <c r="L268" s="27">
        <v>0</v>
      </c>
      <c r="M268" s="23">
        <f>SUM(EDProj[[#This Row],[★ Hard Case Voting Machines]:[★ Curbside (Rollie) Voting Machine]])</f>
        <v>18</v>
      </c>
      <c r="N268" s="23">
        <v>1</v>
      </c>
      <c r="O268" s="27">
        <v>9</v>
      </c>
      <c r="P268" s="27">
        <v>1</v>
      </c>
      <c r="Q268" s="23">
        <v>1</v>
      </c>
      <c r="R268" s="27">
        <f>EDProj[[#This Row],[★ Judge]]+EDProj[[#This Row],[★ Alt Judge]]+EDProj[[#This Row],[★ Clerks]]</f>
        <v>11</v>
      </c>
      <c r="S268" s="28">
        <v>2000</v>
      </c>
      <c r="T268" s="23">
        <f>EDProj[[#This Row],[★ Ballot Cards]]/250</f>
        <v>8</v>
      </c>
      <c r="U268" s="38">
        <f>EDProj[[#This Row],[★ Soft Case (ADA) Voting Machines]]+EDProj[[#This Row],[Old EPB Allocation]]</f>
        <v>5</v>
      </c>
      <c r="V268" s="38">
        <f>EDProj[[#This Row],[Tables Needed]]</f>
        <v>5</v>
      </c>
      <c r="W268" s="27">
        <v>0</v>
      </c>
      <c r="X268" s="27">
        <v>0</v>
      </c>
      <c r="Y268" s="23">
        <f>ROUNDUP(IF(EDProj[[#This Row],[Tables Needed]]-EDProj[[#This Row],[Tables Provided by the Vote Center]]&lt;0,0,EDProj[[#This Row],[Tables Needed]]-EDProj[[#This Row],[Tables Provided by the Vote Center]]),0)</f>
        <v>5</v>
      </c>
      <c r="Z268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269" spans="1:26" ht="13.9">
      <c r="A269" s="23" t="s">
        <v>294</v>
      </c>
      <c r="B269" s="24" t="s">
        <v>295</v>
      </c>
      <c r="C269" s="73" t="s">
        <v>746</v>
      </c>
      <c r="D269" s="30" t="s">
        <v>777</v>
      </c>
      <c r="E269" s="31" t="s">
        <v>778</v>
      </c>
      <c r="F269" s="93">
        <v>258</v>
      </c>
      <c r="G269" s="27">
        <v>4</v>
      </c>
      <c r="H269" s="27">
        <v>4</v>
      </c>
      <c r="I269" s="27">
        <v>4</v>
      </c>
      <c r="J269" s="27">
        <v>1</v>
      </c>
      <c r="K269" s="27">
        <v>0</v>
      </c>
      <c r="L269" s="27">
        <v>0</v>
      </c>
      <c r="M269" s="23">
        <f>SUM(EDProj[[#This Row],[★ Hard Case Voting Machines]:[★ Curbside (Rollie) Voting Machine]])</f>
        <v>5</v>
      </c>
      <c r="N269" s="23">
        <v>1</v>
      </c>
      <c r="O269" s="27">
        <v>5</v>
      </c>
      <c r="P269" s="27">
        <v>1</v>
      </c>
      <c r="Q269" s="23">
        <v>1</v>
      </c>
      <c r="R269" s="27">
        <f>EDProj[[#This Row],[★ Judge]]+EDProj[[#This Row],[★ Alt Judge]]+EDProj[[#This Row],[★ Clerks]]</f>
        <v>7</v>
      </c>
      <c r="S269" s="28">
        <v>500</v>
      </c>
      <c r="T269" s="23">
        <f>EDProj[[#This Row],[★ Ballot Cards]]/250</f>
        <v>2</v>
      </c>
      <c r="U269" s="38">
        <f>EDProj[[#This Row],[★ Soft Case (ADA) Voting Machines]]+EDProj[[#This Row],[Old EPB Allocation]]</f>
        <v>5</v>
      </c>
      <c r="V269" s="38">
        <f>EDProj[[#This Row],[Tables Needed]]</f>
        <v>5</v>
      </c>
      <c r="W269" s="27">
        <v>0</v>
      </c>
      <c r="X269" s="27">
        <v>0</v>
      </c>
      <c r="Y269" s="23">
        <f>ROUNDUP(IF(EDProj[[#This Row],[Tables Needed]]-EDProj[[#This Row],[Tables Provided by the Vote Center]]&lt;0,0,EDProj[[#This Row],[Tables Needed]]-EDProj[[#This Row],[Tables Provided by the Vote Center]]),0)</f>
        <v>5</v>
      </c>
      <c r="Z269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270" spans="1:26" ht="13.9">
      <c r="A270" s="23" t="s">
        <v>294</v>
      </c>
      <c r="B270" s="24" t="s">
        <v>295</v>
      </c>
      <c r="C270" s="73" t="s">
        <v>746</v>
      </c>
      <c r="D270" s="25" t="s">
        <v>779</v>
      </c>
      <c r="E270" s="26" t="s">
        <v>780</v>
      </c>
      <c r="F270" s="92">
        <v>359</v>
      </c>
      <c r="G270" s="27">
        <v>4</v>
      </c>
      <c r="H270" s="27">
        <v>4</v>
      </c>
      <c r="I270" s="27">
        <v>6</v>
      </c>
      <c r="J270" s="27">
        <v>1</v>
      </c>
      <c r="K270" s="27">
        <v>0</v>
      </c>
      <c r="L270" s="27">
        <v>0</v>
      </c>
      <c r="M270" s="23">
        <f>SUM(EDProj[[#This Row],[★ Hard Case Voting Machines]:[★ Curbside (Rollie) Voting Machine]])</f>
        <v>7</v>
      </c>
      <c r="N270" s="23">
        <v>1</v>
      </c>
      <c r="O270" s="27">
        <v>5</v>
      </c>
      <c r="P270" s="27">
        <v>1</v>
      </c>
      <c r="Q270" s="23">
        <v>1</v>
      </c>
      <c r="R270" s="27">
        <f>EDProj[[#This Row],[★ Judge]]+EDProj[[#This Row],[★ Alt Judge]]+EDProj[[#This Row],[★ Clerks]]</f>
        <v>7</v>
      </c>
      <c r="S270" s="28">
        <v>750</v>
      </c>
      <c r="T270" s="23">
        <f>EDProj[[#This Row],[★ Ballot Cards]]/250</f>
        <v>3</v>
      </c>
      <c r="U270" s="38">
        <f>EDProj[[#This Row],[★ Soft Case (ADA) Voting Machines]]+EDProj[[#This Row],[Old EPB Allocation]]</f>
        <v>5</v>
      </c>
      <c r="V270" s="38">
        <f>EDProj[[#This Row],[Tables Needed]]</f>
        <v>5</v>
      </c>
      <c r="W270" s="27">
        <v>0</v>
      </c>
      <c r="X270" s="27">
        <v>0</v>
      </c>
      <c r="Y270" s="23">
        <f>ROUNDUP(IF(EDProj[[#This Row],[Tables Needed]]-EDProj[[#This Row],[Tables Provided by the Vote Center]]&lt;0,0,EDProj[[#This Row],[Tables Needed]]-EDProj[[#This Row],[Tables Provided by the Vote Center]]),0)</f>
        <v>5</v>
      </c>
      <c r="Z270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271" spans="1:26" ht="13.9">
      <c r="A271" s="23" t="s">
        <v>294</v>
      </c>
      <c r="B271" s="24" t="s">
        <v>295</v>
      </c>
      <c r="C271" s="73" t="s">
        <v>746</v>
      </c>
      <c r="D271" s="25" t="s">
        <v>781</v>
      </c>
      <c r="E271" s="26" t="s">
        <v>782</v>
      </c>
      <c r="F271" s="92">
        <v>296</v>
      </c>
      <c r="G271" s="27">
        <v>4</v>
      </c>
      <c r="H271" s="27">
        <v>4</v>
      </c>
      <c r="I271" s="27">
        <v>4</v>
      </c>
      <c r="J271" s="27">
        <v>1</v>
      </c>
      <c r="K271" s="27">
        <v>0</v>
      </c>
      <c r="L271" s="27">
        <v>0</v>
      </c>
      <c r="M271" s="23">
        <f>SUM(EDProj[[#This Row],[★ Hard Case Voting Machines]:[★ Curbside (Rollie) Voting Machine]])</f>
        <v>5</v>
      </c>
      <c r="N271" s="23">
        <v>1</v>
      </c>
      <c r="O271" s="27">
        <v>5</v>
      </c>
      <c r="P271" s="27">
        <v>1</v>
      </c>
      <c r="Q271" s="23">
        <v>1</v>
      </c>
      <c r="R271" s="27">
        <f>EDProj[[#This Row],[★ Judge]]+EDProj[[#This Row],[★ Alt Judge]]+EDProj[[#This Row],[★ Clerks]]</f>
        <v>7</v>
      </c>
      <c r="S271" s="28">
        <v>500</v>
      </c>
      <c r="T271" s="23">
        <f>EDProj[[#This Row],[★ Ballot Cards]]/250</f>
        <v>2</v>
      </c>
      <c r="U271" s="38">
        <f>EDProj[[#This Row],[★ Soft Case (ADA) Voting Machines]]+EDProj[[#This Row],[Old EPB Allocation]]</f>
        <v>5</v>
      </c>
      <c r="V271" s="38">
        <f>EDProj[[#This Row],[Tables Needed]]</f>
        <v>5</v>
      </c>
      <c r="W271" s="27">
        <v>0</v>
      </c>
      <c r="X271" s="27">
        <v>0</v>
      </c>
      <c r="Y271" s="23">
        <f>ROUNDUP(IF(EDProj[[#This Row],[Tables Needed]]-EDProj[[#This Row],[Tables Provided by the Vote Center]]&lt;0,0,EDProj[[#This Row],[Tables Needed]]-EDProj[[#This Row],[Tables Provided by the Vote Center]]),0)</f>
        <v>5</v>
      </c>
      <c r="Z271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272" spans="1:26" ht="13.9">
      <c r="A272" s="23" t="s">
        <v>294</v>
      </c>
      <c r="B272" s="24" t="s">
        <v>295</v>
      </c>
      <c r="C272" s="73" t="s">
        <v>746</v>
      </c>
      <c r="D272" s="25" t="s">
        <v>783</v>
      </c>
      <c r="E272" s="26" t="s">
        <v>784</v>
      </c>
      <c r="F272" s="92">
        <v>349</v>
      </c>
      <c r="G272" s="27">
        <v>4</v>
      </c>
      <c r="H272" s="27">
        <v>4</v>
      </c>
      <c r="I272" s="27">
        <v>5</v>
      </c>
      <c r="J272" s="27">
        <v>1</v>
      </c>
      <c r="K272" s="27">
        <v>0</v>
      </c>
      <c r="L272" s="27">
        <v>0</v>
      </c>
      <c r="M272" s="23">
        <f>SUM(EDProj[[#This Row],[★ Hard Case Voting Machines]:[★ Curbside (Rollie) Voting Machine]])</f>
        <v>6</v>
      </c>
      <c r="N272" s="23">
        <v>1</v>
      </c>
      <c r="O272" s="27">
        <v>5</v>
      </c>
      <c r="P272" s="27">
        <v>1</v>
      </c>
      <c r="Q272" s="23">
        <v>1</v>
      </c>
      <c r="R272" s="27">
        <f>EDProj[[#This Row],[★ Judge]]+EDProj[[#This Row],[★ Alt Judge]]+EDProj[[#This Row],[★ Clerks]]</f>
        <v>7</v>
      </c>
      <c r="S272" s="28">
        <v>750</v>
      </c>
      <c r="T272" s="23">
        <f>EDProj[[#This Row],[★ Ballot Cards]]/250</f>
        <v>3</v>
      </c>
      <c r="U272" s="38">
        <f>EDProj[[#This Row],[★ Soft Case (ADA) Voting Machines]]+EDProj[[#This Row],[Old EPB Allocation]]</f>
        <v>5</v>
      </c>
      <c r="V272" s="38">
        <f>EDProj[[#This Row],[Tables Needed]]</f>
        <v>5</v>
      </c>
      <c r="W272" s="27">
        <v>0</v>
      </c>
      <c r="X272" s="27">
        <v>0</v>
      </c>
      <c r="Y272" s="23">
        <f>ROUNDUP(IF(EDProj[[#This Row],[Tables Needed]]-EDProj[[#This Row],[Tables Provided by the Vote Center]]&lt;0,0,EDProj[[#This Row],[Tables Needed]]-EDProj[[#This Row],[Tables Provided by the Vote Center]]),0)</f>
        <v>5</v>
      </c>
      <c r="Z272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273" spans="1:26" ht="13.9">
      <c r="A273" s="23" t="s">
        <v>294</v>
      </c>
      <c r="B273" s="24" t="s">
        <v>295</v>
      </c>
      <c r="C273" s="73" t="s">
        <v>746</v>
      </c>
      <c r="D273" s="25" t="s">
        <v>785</v>
      </c>
      <c r="E273" s="26" t="s">
        <v>786</v>
      </c>
      <c r="F273" s="92">
        <v>493</v>
      </c>
      <c r="G273" s="27">
        <v>4</v>
      </c>
      <c r="H273" s="27">
        <v>4</v>
      </c>
      <c r="I273" s="27">
        <v>7</v>
      </c>
      <c r="J273" s="27">
        <v>1</v>
      </c>
      <c r="K273" s="27">
        <v>0</v>
      </c>
      <c r="L273" s="27">
        <v>0</v>
      </c>
      <c r="M273" s="23">
        <f>SUM(EDProj[[#This Row],[★ Hard Case Voting Machines]:[★ Curbside (Rollie) Voting Machine]])</f>
        <v>8</v>
      </c>
      <c r="N273" s="23">
        <v>1</v>
      </c>
      <c r="O273" s="27">
        <v>5</v>
      </c>
      <c r="P273" s="27">
        <v>1</v>
      </c>
      <c r="Q273" s="23">
        <v>1</v>
      </c>
      <c r="R273" s="27">
        <f>EDProj[[#This Row],[★ Judge]]+EDProj[[#This Row],[★ Alt Judge]]+EDProj[[#This Row],[★ Clerks]]</f>
        <v>7</v>
      </c>
      <c r="S273" s="28">
        <v>1000</v>
      </c>
      <c r="T273" s="23">
        <f>EDProj[[#This Row],[★ Ballot Cards]]/250</f>
        <v>4</v>
      </c>
      <c r="U273" s="38">
        <f>EDProj[[#This Row],[★ Soft Case (ADA) Voting Machines]]+EDProj[[#This Row],[Old EPB Allocation]]</f>
        <v>5</v>
      </c>
      <c r="V273" s="38">
        <f>EDProj[[#This Row],[Tables Needed]]</f>
        <v>5</v>
      </c>
      <c r="W273" s="27">
        <v>0</v>
      </c>
      <c r="X273" s="27">
        <v>0</v>
      </c>
      <c r="Y273" s="23">
        <f>ROUNDUP(IF(EDProj[[#This Row],[Tables Needed]]-EDProj[[#This Row],[Tables Provided by the Vote Center]]&lt;0,0,EDProj[[#This Row],[Tables Needed]]-EDProj[[#This Row],[Tables Provided by the Vote Center]]),0)</f>
        <v>5</v>
      </c>
      <c r="Z273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274" spans="1:26" ht="13.9">
      <c r="A274" s="23" t="s">
        <v>294</v>
      </c>
      <c r="B274" s="24" t="s">
        <v>295</v>
      </c>
      <c r="C274" s="73" t="s">
        <v>746</v>
      </c>
      <c r="D274" s="25" t="s">
        <v>787</v>
      </c>
      <c r="E274" s="26" t="s">
        <v>788</v>
      </c>
      <c r="F274" s="92">
        <v>228</v>
      </c>
      <c r="G274" s="27">
        <v>4</v>
      </c>
      <c r="H274" s="27">
        <v>4</v>
      </c>
      <c r="I274" s="27">
        <v>4</v>
      </c>
      <c r="J274" s="27">
        <v>1</v>
      </c>
      <c r="K274" s="27">
        <v>0</v>
      </c>
      <c r="L274" s="27">
        <v>0</v>
      </c>
      <c r="M274" s="23">
        <f>SUM(EDProj[[#This Row],[★ Hard Case Voting Machines]:[★ Curbside (Rollie) Voting Machine]])</f>
        <v>5</v>
      </c>
      <c r="N274" s="23">
        <v>1</v>
      </c>
      <c r="O274" s="27">
        <v>5</v>
      </c>
      <c r="P274" s="27">
        <v>1</v>
      </c>
      <c r="Q274" s="23">
        <v>1</v>
      </c>
      <c r="R274" s="27">
        <f>EDProj[[#This Row],[★ Judge]]+EDProj[[#This Row],[★ Alt Judge]]+EDProj[[#This Row],[★ Clerks]]</f>
        <v>7</v>
      </c>
      <c r="S274" s="28">
        <v>500</v>
      </c>
      <c r="T274" s="23">
        <f>EDProj[[#This Row],[★ Ballot Cards]]/250</f>
        <v>2</v>
      </c>
      <c r="U274" s="38">
        <f>EDProj[[#This Row],[★ Soft Case (ADA) Voting Machines]]+EDProj[[#This Row],[Old EPB Allocation]]</f>
        <v>5</v>
      </c>
      <c r="V274" s="38">
        <f>EDProj[[#This Row],[Tables Needed]]</f>
        <v>5</v>
      </c>
      <c r="W274" s="27">
        <v>0</v>
      </c>
      <c r="X274" s="27">
        <v>0</v>
      </c>
      <c r="Y274" s="23">
        <f>ROUNDUP(IF(EDProj[[#This Row],[Tables Needed]]-EDProj[[#This Row],[Tables Provided by the Vote Center]]&lt;0,0,EDProj[[#This Row],[Tables Needed]]-EDProj[[#This Row],[Tables Provided by the Vote Center]]),0)</f>
        <v>5</v>
      </c>
      <c r="Z274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275" spans="1:26" ht="13.9">
      <c r="A275" s="23" t="s">
        <v>294</v>
      </c>
      <c r="B275" s="24" t="s">
        <v>295</v>
      </c>
      <c r="C275" s="73" t="s">
        <v>746</v>
      </c>
      <c r="D275" s="25" t="s">
        <v>789</v>
      </c>
      <c r="E275" s="26" t="s">
        <v>790</v>
      </c>
      <c r="F275" s="92">
        <v>378</v>
      </c>
      <c r="G275" s="27">
        <v>4</v>
      </c>
      <c r="H275" s="27">
        <v>4</v>
      </c>
      <c r="I275" s="27">
        <v>7</v>
      </c>
      <c r="J275" s="27">
        <v>1</v>
      </c>
      <c r="K275" s="27">
        <v>0</v>
      </c>
      <c r="L275" s="27">
        <v>0</v>
      </c>
      <c r="M275" s="23">
        <f>SUM(EDProj[[#This Row],[★ Hard Case Voting Machines]:[★ Curbside (Rollie) Voting Machine]])</f>
        <v>8</v>
      </c>
      <c r="N275" s="23">
        <v>1</v>
      </c>
      <c r="O275" s="27">
        <v>5</v>
      </c>
      <c r="P275" s="27">
        <v>1</v>
      </c>
      <c r="Q275" s="23">
        <v>1</v>
      </c>
      <c r="R275" s="27">
        <f>EDProj[[#This Row],[★ Judge]]+EDProj[[#This Row],[★ Alt Judge]]+EDProj[[#This Row],[★ Clerks]]</f>
        <v>7</v>
      </c>
      <c r="S275" s="28">
        <v>750</v>
      </c>
      <c r="T275" s="23">
        <f>EDProj[[#This Row],[★ Ballot Cards]]/250</f>
        <v>3</v>
      </c>
      <c r="U275" s="38">
        <f>EDProj[[#This Row],[★ Soft Case (ADA) Voting Machines]]+EDProj[[#This Row],[Old EPB Allocation]]</f>
        <v>5</v>
      </c>
      <c r="V275" s="38">
        <f>EDProj[[#This Row],[Tables Needed]]</f>
        <v>5</v>
      </c>
      <c r="W275" s="27">
        <v>0</v>
      </c>
      <c r="X275" s="27">
        <v>0</v>
      </c>
      <c r="Y275" s="23">
        <f>ROUNDUP(IF(EDProj[[#This Row],[Tables Needed]]-EDProj[[#This Row],[Tables Provided by the Vote Center]]&lt;0,0,EDProj[[#This Row],[Tables Needed]]-EDProj[[#This Row],[Tables Provided by the Vote Center]]),0)</f>
        <v>5</v>
      </c>
      <c r="Z275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276" spans="1:26" ht="13.9">
      <c r="A276" s="23" t="s">
        <v>294</v>
      </c>
      <c r="B276" s="24" t="s">
        <v>295</v>
      </c>
      <c r="C276" s="73" t="s">
        <v>746</v>
      </c>
      <c r="D276" s="25" t="s">
        <v>791</v>
      </c>
      <c r="E276" s="26" t="s">
        <v>792</v>
      </c>
      <c r="F276" s="92">
        <v>235</v>
      </c>
      <c r="G276" s="27">
        <v>4</v>
      </c>
      <c r="H276" s="27">
        <v>4</v>
      </c>
      <c r="I276" s="27">
        <v>4</v>
      </c>
      <c r="J276" s="27">
        <v>1</v>
      </c>
      <c r="K276" s="27">
        <v>0</v>
      </c>
      <c r="L276" s="27">
        <v>0</v>
      </c>
      <c r="M276" s="23">
        <f>SUM(EDProj[[#This Row],[★ Hard Case Voting Machines]:[★ Curbside (Rollie) Voting Machine]])</f>
        <v>5</v>
      </c>
      <c r="N276" s="23">
        <v>1</v>
      </c>
      <c r="O276" s="27">
        <v>5</v>
      </c>
      <c r="P276" s="27">
        <v>1</v>
      </c>
      <c r="Q276" s="23">
        <v>1</v>
      </c>
      <c r="R276" s="27">
        <f>EDProj[[#This Row],[★ Judge]]+EDProj[[#This Row],[★ Alt Judge]]+EDProj[[#This Row],[★ Clerks]]</f>
        <v>7</v>
      </c>
      <c r="S276" s="28">
        <v>500</v>
      </c>
      <c r="T276" s="23">
        <f>EDProj[[#This Row],[★ Ballot Cards]]/250</f>
        <v>2</v>
      </c>
      <c r="U276" s="38">
        <f>EDProj[[#This Row],[★ Soft Case (ADA) Voting Machines]]+EDProj[[#This Row],[Old EPB Allocation]]</f>
        <v>5</v>
      </c>
      <c r="V276" s="38">
        <f>EDProj[[#This Row],[Tables Needed]]</f>
        <v>5</v>
      </c>
      <c r="W276" s="27">
        <v>0</v>
      </c>
      <c r="X276" s="27">
        <v>0</v>
      </c>
      <c r="Y276" s="23">
        <f>ROUNDUP(IF(EDProj[[#This Row],[Tables Needed]]-EDProj[[#This Row],[Tables Provided by the Vote Center]]&lt;0,0,EDProj[[#This Row],[Tables Needed]]-EDProj[[#This Row],[Tables Provided by the Vote Center]]),0)</f>
        <v>5</v>
      </c>
      <c r="Z276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277" spans="1:26" ht="13.9">
      <c r="A277" s="23" t="s">
        <v>113</v>
      </c>
      <c r="B277" s="24" t="s">
        <v>265</v>
      </c>
      <c r="C277" s="73" t="s">
        <v>746</v>
      </c>
      <c r="D277" s="30" t="s">
        <v>264</v>
      </c>
      <c r="E277" s="31" t="s">
        <v>266</v>
      </c>
      <c r="F277" s="93">
        <v>1057</v>
      </c>
      <c r="G277" s="27">
        <v>5</v>
      </c>
      <c r="H277" s="27">
        <v>5</v>
      </c>
      <c r="I277" s="27">
        <v>16</v>
      </c>
      <c r="J277" s="27">
        <v>1</v>
      </c>
      <c r="K277" s="27">
        <v>1</v>
      </c>
      <c r="L277" s="27">
        <v>1</v>
      </c>
      <c r="M277" s="23">
        <f>SUM(EDProj[[#This Row],[★ Hard Case Voting Machines]:[★ Curbside (Rollie) Voting Machine]])</f>
        <v>19</v>
      </c>
      <c r="N277" s="23">
        <v>1</v>
      </c>
      <c r="O277" s="27">
        <v>9</v>
      </c>
      <c r="P277" s="27">
        <v>1</v>
      </c>
      <c r="Q277" s="23">
        <v>1</v>
      </c>
      <c r="R277" s="27">
        <f>EDProj[[#This Row],[★ Judge]]+EDProj[[#This Row],[★ Alt Judge]]+EDProj[[#This Row],[★ Clerks]]</f>
        <v>11</v>
      </c>
      <c r="S277" s="28">
        <v>1750</v>
      </c>
      <c r="T277" s="23">
        <f>EDProj[[#This Row],[★ Ballot Cards]]/250</f>
        <v>7</v>
      </c>
      <c r="U277" s="38">
        <f>EDProj[[#This Row],[★ Soft Case (ADA) Voting Machines]]+EDProj[[#This Row],[Old EPB Allocation]]</f>
        <v>6</v>
      </c>
      <c r="V277" s="38">
        <f>EDProj[[#This Row],[Tables Needed]]</f>
        <v>6</v>
      </c>
      <c r="W277" s="27">
        <v>8</v>
      </c>
      <c r="X277" s="27">
        <v>12</v>
      </c>
      <c r="Y277" s="23">
        <f>ROUNDUP(IF(EDProj[[#This Row],[Tables Needed]]-EDProj[[#This Row],[Tables Provided by the Vote Center]]&lt;0,0,EDProj[[#This Row],[Tables Needed]]-EDProj[[#This Row],[Tables Provided by the Vote Center]]),0)</f>
        <v>0</v>
      </c>
      <c r="Z277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278" spans="1:26" ht="13.9">
      <c r="A278" s="23" t="s">
        <v>294</v>
      </c>
      <c r="B278" s="24" t="s">
        <v>295</v>
      </c>
      <c r="C278" s="73" t="s">
        <v>746</v>
      </c>
      <c r="D278" s="25" t="s">
        <v>793</v>
      </c>
      <c r="E278" s="26" t="s">
        <v>794</v>
      </c>
      <c r="F278" s="92">
        <v>195</v>
      </c>
      <c r="G278" s="27">
        <v>4</v>
      </c>
      <c r="H278" s="27">
        <v>4</v>
      </c>
      <c r="I278" s="27">
        <v>3</v>
      </c>
      <c r="J278" s="27">
        <v>1</v>
      </c>
      <c r="K278" s="27">
        <v>0</v>
      </c>
      <c r="L278" s="27">
        <v>0</v>
      </c>
      <c r="M278" s="23">
        <f>SUM(EDProj[[#This Row],[★ Hard Case Voting Machines]:[★ Curbside (Rollie) Voting Machine]])</f>
        <v>4</v>
      </c>
      <c r="N278" s="23">
        <v>1</v>
      </c>
      <c r="O278" s="27">
        <v>4</v>
      </c>
      <c r="P278" s="27">
        <v>1</v>
      </c>
      <c r="Q278" s="23">
        <v>1</v>
      </c>
      <c r="R278" s="27">
        <f>EDProj[[#This Row],[★ Judge]]+EDProj[[#This Row],[★ Alt Judge]]+EDProj[[#This Row],[★ Clerks]]</f>
        <v>6</v>
      </c>
      <c r="S278" s="28">
        <v>500</v>
      </c>
      <c r="T278" s="23">
        <f>EDProj[[#This Row],[★ Ballot Cards]]/250</f>
        <v>2</v>
      </c>
      <c r="U278" s="38">
        <f>EDProj[[#This Row],[★ Soft Case (ADA) Voting Machines]]+EDProj[[#This Row],[Old EPB Allocation]]</f>
        <v>5</v>
      </c>
      <c r="V278" s="38">
        <f>EDProj[[#This Row],[Tables Needed]]</f>
        <v>5</v>
      </c>
      <c r="W278" s="27">
        <v>0</v>
      </c>
      <c r="X278" s="27">
        <v>0</v>
      </c>
      <c r="Y278" s="23">
        <f>ROUNDUP(IF(EDProj[[#This Row],[Tables Needed]]-EDProj[[#This Row],[Tables Provided by the Vote Center]]&lt;0,0,EDProj[[#This Row],[Tables Needed]]-EDProj[[#This Row],[Tables Provided by the Vote Center]]),0)</f>
        <v>5</v>
      </c>
      <c r="Z278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279" spans="1:26" ht="13.9">
      <c r="A279" s="23" t="s">
        <v>294</v>
      </c>
      <c r="B279" s="24" t="s">
        <v>295</v>
      </c>
      <c r="C279" s="73" t="s">
        <v>746</v>
      </c>
      <c r="D279" s="36" t="s">
        <v>40</v>
      </c>
      <c r="E279" s="37" t="s">
        <v>41</v>
      </c>
      <c r="F279" s="94">
        <v>769</v>
      </c>
      <c r="G279" s="27">
        <v>4</v>
      </c>
      <c r="H279" s="27">
        <v>4</v>
      </c>
      <c r="I279" s="38">
        <v>11</v>
      </c>
      <c r="J279" s="38">
        <v>1</v>
      </c>
      <c r="K279" s="38">
        <v>0</v>
      </c>
      <c r="L279" s="27">
        <v>0</v>
      </c>
      <c r="M279" s="34">
        <f>SUM(EDProj[[#This Row],[★ Hard Case Voting Machines]:[★ Curbside (Rollie) Voting Machine]])</f>
        <v>12</v>
      </c>
      <c r="N279" s="34">
        <v>1</v>
      </c>
      <c r="O279" s="38">
        <v>8</v>
      </c>
      <c r="P279" s="34">
        <v>1</v>
      </c>
      <c r="Q279" s="23">
        <v>1</v>
      </c>
      <c r="R279" s="38">
        <f>EDProj[[#This Row],[★ Judge]]+EDProj[[#This Row],[★ Alt Judge]]+EDProj[[#This Row],[★ Clerks]]</f>
        <v>10</v>
      </c>
      <c r="S279" s="39">
        <v>1250</v>
      </c>
      <c r="T279" s="34">
        <f>EDProj[[#This Row],[★ Ballot Cards]]/250</f>
        <v>5</v>
      </c>
      <c r="U279" s="38">
        <f>EDProj[[#This Row],[★ Soft Case (ADA) Voting Machines]]+EDProj[[#This Row],[Old EPB Allocation]]</f>
        <v>5</v>
      </c>
      <c r="V279" s="38">
        <f>EDProj[[#This Row],[Tables Needed]]</f>
        <v>5</v>
      </c>
      <c r="W279" s="27">
        <v>0</v>
      </c>
      <c r="X279" s="27">
        <v>0</v>
      </c>
      <c r="Y279" s="34">
        <f>ROUNDUP(IF(EDProj[[#This Row],[Tables Needed]]-EDProj[[#This Row],[Tables Provided by the Vote Center]]&lt;0,0,EDProj[[#This Row],[Tables Needed]]-EDProj[[#This Row],[Tables Provided by the Vote Center]]),0)</f>
        <v>5</v>
      </c>
      <c r="Z279" s="34">
        <f>ROUNDUP(IF(EDProj[[#This Row],[Chairs Needed]]-EDProj[[#This Row],[Chairs Provided by the Vote Center]]&lt;0,0,EDProj[[#This Row],[Chairs Needed]]-EDProj[[#This Row],[Chairs Provided by the Vote Center]]),0)</f>
        <v>5</v>
      </c>
    </row>
    <row r="280" spans="1:26" ht="13.9">
      <c r="A280" s="23" t="s">
        <v>294</v>
      </c>
      <c r="B280" s="24" t="s">
        <v>295</v>
      </c>
      <c r="C280" s="73" t="s">
        <v>746</v>
      </c>
      <c r="D280" s="25" t="s">
        <v>795</v>
      </c>
      <c r="E280" s="26" t="s">
        <v>796</v>
      </c>
      <c r="F280" s="92">
        <v>431</v>
      </c>
      <c r="G280" s="27">
        <v>4</v>
      </c>
      <c r="H280" s="27">
        <v>4</v>
      </c>
      <c r="I280" s="27">
        <v>8</v>
      </c>
      <c r="J280" s="27">
        <v>1</v>
      </c>
      <c r="K280" s="27">
        <v>0</v>
      </c>
      <c r="L280" s="27">
        <v>0</v>
      </c>
      <c r="M280" s="23">
        <f>SUM(EDProj[[#This Row],[★ Hard Case Voting Machines]:[★ Curbside (Rollie) Voting Machine]])</f>
        <v>9</v>
      </c>
      <c r="N280" s="23">
        <v>1</v>
      </c>
      <c r="O280" s="27">
        <v>6</v>
      </c>
      <c r="P280" s="27">
        <v>1</v>
      </c>
      <c r="Q280" s="23">
        <v>1</v>
      </c>
      <c r="R280" s="27">
        <f>EDProj[[#This Row],[★ Judge]]+EDProj[[#This Row],[★ Alt Judge]]+EDProj[[#This Row],[★ Clerks]]</f>
        <v>8</v>
      </c>
      <c r="S280" s="28">
        <v>750</v>
      </c>
      <c r="T280" s="23">
        <f>EDProj[[#This Row],[★ Ballot Cards]]/250</f>
        <v>3</v>
      </c>
      <c r="U280" s="38">
        <f>EDProj[[#This Row],[★ Soft Case (ADA) Voting Machines]]+EDProj[[#This Row],[Old EPB Allocation]]</f>
        <v>5</v>
      </c>
      <c r="V280" s="38">
        <f>EDProj[[#This Row],[Tables Needed]]</f>
        <v>5</v>
      </c>
      <c r="W280" s="27">
        <v>0</v>
      </c>
      <c r="X280" s="27">
        <v>0</v>
      </c>
      <c r="Y280" s="23">
        <f>ROUNDUP(IF(EDProj[[#This Row],[Tables Needed]]-EDProj[[#This Row],[Tables Provided by the Vote Center]]&lt;0,0,EDProj[[#This Row],[Tables Needed]]-EDProj[[#This Row],[Tables Provided by the Vote Center]]),0)</f>
        <v>5</v>
      </c>
      <c r="Z280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281" spans="1:26" ht="13.9">
      <c r="A281" s="23" t="s">
        <v>294</v>
      </c>
      <c r="B281" s="24" t="s">
        <v>295</v>
      </c>
      <c r="C281" s="73" t="s">
        <v>746</v>
      </c>
      <c r="D281" s="25" t="s">
        <v>797</v>
      </c>
      <c r="E281" s="26" t="s">
        <v>798</v>
      </c>
      <c r="F281" s="92">
        <v>311</v>
      </c>
      <c r="G281" s="27">
        <v>4</v>
      </c>
      <c r="H281" s="27">
        <v>4</v>
      </c>
      <c r="I281" s="27">
        <v>6</v>
      </c>
      <c r="J281" s="27">
        <v>1</v>
      </c>
      <c r="K281" s="27">
        <v>0</v>
      </c>
      <c r="L281" s="27">
        <v>0</v>
      </c>
      <c r="M281" s="23">
        <f>SUM(EDProj[[#This Row],[★ Hard Case Voting Machines]:[★ Curbside (Rollie) Voting Machine]])</f>
        <v>7</v>
      </c>
      <c r="N281" s="23">
        <v>1</v>
      </c>
      <c r="O281" s="27">
        <v>5</v>
      </c>
      <c r="P281" s="27">
        <v>1</v>
      </c>
      <c r="Q281" s="23">
        <v>1</v>
      </c>
      <c r="R281" s="27">
        <f>EDProj[[#This Row],[★ Judge]]+EDProj[[#This Row],[★ Alt Judge]]+EDProj[[#This Row],[★ Clerks]]</f>
        <v>7</v>
      </c>
      <c r="S281" s="28">
        <v>500</v>
      </c>
      <c r="T281" s="23">
        <f>EDProj[[#This Row],[★ Ballot Cards]]/250</f>
        <v>2</v>
      </c>
      <c r="U281" s="38">
        <f>EDProj[[#This Row],[★ Soft Case (ADA) Voting Machines]]+EDProj[[#This Row],[Old EPB Allocation]]</f>
        <v>5</v>
      </c>
      <c r="V281" s="38">
        <f>EDProj[[#This Row],[Tables Needed]]</f>
        <v>5</v>
      </c>
      <c r="W281" s="27">
        <v>0</v>
      </c>
      <c r="X281" s="27">
        <v>0</v>
      </c>
      <c r="Y281" s="23">
        <f>ROUNDUP(IF(EDProj[[#This Row],[Tables Needed]]-EDProj[[#This Row],[Tables Provided by the Vote Center]]&lt;0,0,EDProj[[#This Row],[Tables Needed]]-EDProj[[#This Row],[Tables Provided by the Vote Center]]),0)</f>
        <v>5</v>
      </c>
      <c r="Z281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282" spans="1:26" ht="13.9">
      <c r="A282" s="23" t="s">
        <v>294</v>
      </c>
      <c r="B282" s="24" t="s">
        <v>295</v>
      </c>
      <c r="C282" s="73" t="s">
        <v>746</v>
      </c>
      <c r="D282" s="25" t="s">
        <v>799</v>
      </c>
      <c r="E282" s="26" t="s">
        <v>800</v>
      </c>
      <c r="F282" s="92">
        <v>182</v>
      </c>
      <c r="G282" s="27">
        <v>4</v>
      </c>
      <c r="H282" s="27">
        <v>4</v>
      </c>
      <c r="I282" s="27">
        <v>3</v>
      </c>
      <c r="J282" s="27">
        <v>1</v>
      </c>
      <c r="K282" s="27">
        <v>0</v>
      </c>
      <c r="L282" s="27">
        <v>0</v>
      </c>
      <c r="M282" s="23">
        <f>SUM(EDProj[[#This Row],[★ Hard Case Voting Machines]:[★ Curbside (Rollie) Voting Machine]])</f>
        <v>4</v>
      </c>
      <c r="N282" s="23">
        <v>1</v>
      </c>
      <c r="O282" s="27">
        <v>4</v>
      </c>
      <c r="P282" s="27">
        <v>1</v>
      </c>
      <c r="Q282" s="23">
        <v>1</v>
      </c>
      <c r="R282" s="27">
        <f>EDProj[[#This Row],[★ Judge]]+EDProj[[#This Row],[★ Alt Judge]]+EDProj[[#This Row],[★ Clerks]]</f>
        <v>6</v>
      </c>
      <c r="S282" s="28">
        <v>500</v>
      </c>
      <c r="T282" s="23">
        <f>EDProj[[#This Row],[★ Ballot Cards]]/250</f>
        <v>2</v>
      </c>
      <c r="U282" s="38">
        <f>EDProj[[#This Row],[★ Soft Case (ADA) Voting Machines]]+EDProj[[#This Row],[Old EPB Allocation]]</f>
        <v>5</v>
      </c>
      <c r="V282" s="38">
        <f>EDProj[[#This Row],[Tables Needed]]</f>
        <v>5</v>
      </c>
      <c r="W282" s="27">
        <v>0</v>
      </c>
      <c r="X282" s="27">
        <v>0</v>
      </c>
      <c r="Y282" s="23">
        <f>ROUNDUP(IF(EDProj[[#This Row],[Tables Needed]]-EDProj[[#This Row],[Tables Provided by the Vote Center]]&lt;0,0,EDProj[[#This Row],[Tables Needed]]-EDProj[[#This Row],[Tables Provided by the Vote Center]]),0)</f>
        <v>5</v>
      </c>
      <c r="Z282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283" spans="1:26" ht="13.9">
      <c r="A283" s="23" t="s">
        <v>294</v>
      </c>
      <c r="B283" s="24" t="s">
        <v>295</v>
      </c>
      <c r="C283" s="73" t="s">
        <v>746</v>
      </c>
      <c r="D283" s="25" t="s">
        <v>801</v>
      </c>
      <c r="E283" s="26" t="s">
        <v>802</v>
      </c>
      <c r="F283" s="92">
        <v>396</v>
      </c>
      <c r="G283" s="27">
        <v>4</v>
      </c>
      <c r="H283" s="27">
        <v>4</v>
      </c>
      <c r="I283" s="27">
        <v>7</v>
      </c>
      <c r="J283" s="27">
        <v>1</v>
      </c>
      <c r="K283" s="27">
        <v>0</v>
      </c>
      <c r="L283" s="27">
        <v>0</v>
      </c>
      <c r="M283" s="23">
        <f>SUM(EDProj[[#This Row],[★ Hard Case Voting Machines]:[★ Curbside (Rollie) Voting Machine]])</f>
        <v>8</v>
      </c>
      <c r="N283" s="23">
        <v>1</v>
      </c>
      <c r="O283" s="27">
        <v>5</v>
      </c>
      <c r="P283" s="27">
        <v>1</v>
      </c>
      <c r="Q283" s="23">
        <v>1</v>
      </c>
      <c r="R283" s="27">
        <f>EDProj[[#This Row],[★ Judge]]+EDProj[[#This Row],[★ Alt Judge]]+EDProj[[#This Row],[★ Clerks]]</f>
        <v>7</v>
      </c>
      <c r="S283" s="28">
        <v>750</v>
      </c>
      <c r="T283" s="23">
        <f>EDProj[[#This Row],[★ Ballot Cards]]/250</f>
        <v>3</v>
      </c>
      <c r="U283" s="38">
        <f>EDProj[[#This Row],[★ Soft Case (ADA) Voting Machines]]+EDProj[[#This Row],[Old EPB Allocation]]</f>
        <v>5</v>
      </c>
      <c r="V283" s="38">
        <f>EDProj[[#This Row],[Tables Needed]]</f>
        <v>5</v>
      </c>
      <c r="W283" s="27">
        <v>0</v>
      </c>
      <c r="X283" s="27">
        <v>0</v>
      </c>
      <c r="Y283" s="23">
        <f>ROUNDUP(IF(EDProj[[#This Row],[Tables Needed]]-EDProj[[#This Row],[Tables Provided by the Vote Center]]&lt;0,0,EDProj[[#This Row],[Tables Needed]]-EDProj[[#This Row],[Tables Provided by the Vote Center]]),0)</f>
        <v>5</v>
      </c>
      <c r="Z283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284" spans="1:26" ht="13.9">
      <c r="A284" s="23" t="s">
        <v>294</v>
      </c>
      <c r="B284" s="24" t="s">
        <v>295</v>
      </c>
      <c r="C284" s="73" t="s">
        <v>746</v>
      </c>
      <c r="D284" s="25" t="s">
        <v>803</v>
      </c>
      <c r="E284" s="26" t="s">
        <v>804</v>
      </c>
      <c r="F284" s="92">
        <v>341</v>
      </c>
      <c r="G284" s="27">
        <v>4</v>
      </c>
      <c r="H284" s="27">
        <v>4</v>
      </c>
      <c r="I284" s="27">
        <v>5</v>
      </c>
      <c r="J284" s="27">
        <v>1</v>
      </c>
      <c r="K284" s="27">
        <v>0</v>
      </c>
      <c r="L284" s="27">
        <v>0</v>
      </c>
      <c r="M284" s="23">
        <f>SUM(EDProj[[#This Row],[★ Hard Case Voting Machines]:[★ Curbside (Rollie) Voting Machine]])</f>
        <v>6</v>
      </c>
      <c r="N284" s="23">
        <v>1</v>
      </c>
      <c r="O284" s="27">
        <v>6</v>
      </c>
      <c r="P284" s="27">
        <v>1</v>
      </c>
      <c r="Q284" s="23">
        <v>1</v>
      </c>
      <c r="R284" s="27">
        <f>EDProj[[#This Row],[★ Judge]]+EDProj[[#This Row],[★ Alt Judge]]+EDProj[[#This Row],[★ Clerks]]</f>
        <v>8</v>
      </c>
      <c r="S284" s="28">
        <v>750</v>
      </c>
      <c r="T284" s="23">
        <f>EDProj[[#This Row],[★ Ballot Cards]]/250</f>
        <v>3</v>
      </c>
      <c r="U284" s="38">
        <f>EDProj[[#This Row],[★ Soft Case (ADA) Voting Machines]]+EDProj[[#This Row],[Old EPB Allocation]]</f>
        <v>5</v>
      </c>
      <c r="V284" s="38">
        <f>EDProj[[#This Row],[Tables Needed]]</f>
        <v>5</v>
      </c>
      <c r="W284" s="27">
        <v>0</v>
      </c>
      <c r="X284" s="27">
        <v>0</v>
      </c>
      <c r="Y284" s="23">
        <f>ROUNDUP(IF(EDProj[[#This Row],[Tables Needed]]-EDProj[[#This Row],[Tables Provided by the Vote Center]]&lt;0,0,EDProj[[#This Row],[Tables Needed]]-EDProj[[#This Row],[Tables Provided by the Vote Center]]),0)</f>
        <v>5</v>
      </c>
      <c r="Z284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285" spans="1:26" ht="13.9">
      <c r="A285" s="23" t="s">
        <v>294</v>
      </c>
      <c r="B285" s="24" t="s">
        <v>295</v>
      </c>
      <c r="C285" s="73" t="s">
        <v>746</v>
      </c>
      <c r="D285" s="25" t="s">
        <v>805</v>
      </c>
      <c r="E285" s="26" t="s">
        <v>806</v>
      </c>
      <c r="F285" s="92">
        <v>137</v>
      </c>
      <c r="G285" s="27">
        <v>4</v>
      </c>
      <c r="H285" s="27">
        <v>4</v>
      </c>
      <c r="I285" s="27">
        <v>2</v>
      </c>
      <c r="J285" s="27">
        <v>1</v>
      </c>
      <c r="K285" s="27">
        <v>0</v>
      </c>
      <c r="L285" s="27">
        <v>0</v>
      </c>
      <c r="M285" s="23">
        <f>SUM(EDProj[[#This Row],[★ Hard Case Voting Machines]:[★ Curbside (Rollie) Voting Machine]])</f>
        <v>3</v>
      </c>
      <c r="N285" s="23">
        <v>1</v>
      </c>
      <c r="O285" s="27">
        <v>4</v>
      </c>
      <c r="P285" s="27">
        <v>1</v>
      </c>
      <c r="Q285" s="23">
        <v>1</v>
      </c>
      <c r="R285" s="27">
        <f>EDProj[[#This Row],[★ Judge]]+EDProj[[#This Row],[★ Alt Judge]]+EDProj[[#This Row],[★ Clerks]]</f>
        <v>6</v>
      </c>
      <c r="S285" s="28">
        <v>500</v>
      </c>
      <c r="T285" s="23">
        <f>EDProj[[#This Row],[★ Ballot Cards]]/250</f>
        <v>2</v>
      </c>
      <c r="U285" s="38">
        <f>EDProj[[#This Row],[★ Soft Case (ADA) Voting Machines]]+EDProj[[#This Row],[Old EPB Allocation]]</f>
        <v>5</v>
      </c>
      <c r="V285" s="38">
        <f>EDProj[[#This Row],[Tables Needed]]</f>
        <v>5</v>
      </c>
      <c r="W285" s="27">
        <v>0</v>
      </c>
      <c r="X285" s="27">
        <v>0</v>
      </c>
      <c r="Y285" s="23">
        <f>ROUNDUP(IF(EDProj[[#This Row],[Tables Needed]]-EDProj[[#This Row],[Tables Provided by the Vote Center]]&lt;0,0,EDProj[[#This Row],[Tables Needed]]-EDProj[[#This Row],[Tables Provided by the Vote Center]]),0)</f>
        <v>5</v>
      </c>
      <c r="Z285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286" spans="1:26" ht="13.9">
      <c r="A286" s="23" t="s">
        <v>294</v>
      </c>
      <c r="B286" s="24" t="s">
        <v>295</v>
      </c>
      <c r="C286" s="73" t="s">
        <v>746</v>
      </c>
      <c r="D286" s="25" t="s">
        <v>807</v>
      </c>
      <c r="E286" s="26" t="s">
        <v>808</v>
      </c>
      <c r="F286" s="92">
        <v>293</v>
      </c>
      <c r="G286" s="27">
        <v>4</v>
      </c>
      <c r="H286" s="27">
        <v>4</v>
      </c>
      <c r="I286" s="27">
        <v>5</v>
      </c>
      <c r="J286" s="27">
        <v>1</v>
      </c>
      <c r="K286" s="27">
        <v>0</v>
      </c>
      <c r="L286" s="27">
        <v>0</v>
      </c>
      <c r="M286" s="23">
        <f>SUM(EDProj[[#This Row],[★ Hard Case Voting Machines]:[★ Curbside (Rollie) Voting Machine]])</f>
        <v>6</v>
      </c>
      <c r="N286" s="23">
        <v>1</v>
      </c>
      <c r="O286" s="27">
        <v>6</v>
      </c>
      <c r="P286" s="27">
        <v>1</v>
      </c>
      <c r="Q286" s="23">
        <v>1</v>
      </c>
      <c r="R286" s="27">
        <f>EDProj[[#This Row],[★ Judge]]+EDProj[[#This Row],[★ Alt Judge]]+EDProj[[#This Row],[★ Clerks]]</f>
        <v>8</v>
      </c>
      <c r="S286" s="28">
        <v>500</v>
      </c>
      <c r="T286" s="23">
        <f>EDProj[[#This Row],[★ Ballot Cards]]/250</f>
        <v>2</v>
      </c>
      <c r="U286" s="38">
        <f>EDProj[[#This Row],[★ Soft Case (ADA) Voting Machines]]+EDProj[[#This Row],[Old EPB Allocation]]</f>
        <v>5</v>
      </c>
      <c r="V286" s="38">
        <f>EDProj[[#This Row],[Tables Needed]]</f>
        <v>5</v>
      </c>
      <c r="W286" s="27">
        <v>0</v>
      </c>
      <c r="X286" s="27">
        <v>0</v>
      </c>
      <c r="Y286" s="23">
        <f>ROUNDUP(IF(EDProj[[#This Row],[Tables Needed]]-EDProj[[#This Row],[Tables Provided by the Vote Center]]&lt;0,0,EDProj[[#This Row],[Tables Needed]]-EDProj[[#This Row],[Tables Provided by the Vote Center]]),0)</f>
        <v>5</v>
      </c>
      <c r="Z286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287" spans="1:26" ht="13.9">
      <c r="A287" s="23" t="s">
        <v>294</v>
      </c>
      <c r="B287" s="24" t="s">
        <v>295</v>
      </c>
      <c r="C287" s="73" t="s">
        <v>746</v>
      </c>
      <c r="D287" s="25" t="s">
        <v>809</v>
      </c>
      <c r="E287" s="26" t="s">
        <v>810</v>
      </c>
      <c r="F287" s="92">
        <v>554</v>
      </c>
      <c r="G287" s="27">
        <v>4</v>
      </c>
      <c r="H287" s="27">
        <v>4</v>
      </c>
      <c r="I287" s="27">
        <v>10</v>
      </c>
      <c r="J287" s="27">
        <v>1</v>
      </c>
      <c r="K287" s="27">
        <v>0</v>
      </c>
      <c r="L287" s="27">
        <v>0</v>
      </c>
      <c r="M287" s="23">
        <f>SUM(EDProj[[#This Row],[★ Hard Case Voting Machines]:[★ Curbside (Rollie) Voting Machine]])</f>
        <v>11</v>
      </c>
      <c r="N287" s="23">
        <v>1</v>
      </c>
      <c r="O287" s="27">
        <v>6</v>
      </c>
      <c r="P287" s="27">
        <v>1</v>
      </c>
      <c r="Q287" s="23">
        <v>1</v>
      </c>
      <c r="R287" s="27">
        <f>EDProj[[#This Row],[★ Judge]]+EDProj[[#This Row],[★ Alt Judge]]+EDProj[[#This Row],[★ Clerks]]</f>
        <v>8</v>
      </c>
      <c r="S287" s="28">
        <v>1000</v>
      </c>
      <c r="T287" s="23">
        <f>EDProj[[#This Row],[★ Ballot Cards]]/250</f>
        <v>4</v>
      </c>
      <c r="U287" s="38">
        <f>EDProj[[#This Row],[★ Soft Case (ADA) Voting Machines]]+EDProj[[#This Row],[Old EPB Allocation]]</f>
        <v>5</v>
      </c>
      <c r="V287" s="38">
        <f>EDProj[[#This Row],[Tables Needed]]</f>
        <v>5</v>
      </c>
      <c r="W287" s="27">
        <v>0</v>
      </c>
      <c r="X287" s="27">
        <v>0</v>
      </c>
      <c r="Y287" s="23">
        <f>ROUNDUP(IF(EDProj[[#This Row],[Tables Needed]]-EDProj[[#This Row],[Tables Provided by the Vote Center]]&lt;0,0,EDProj[[#This Row],[Tables Needed]]-EDProj[[#This Row],[Tables Provided by the Vote Center]]),0)</f>
        <v>5</v>
      </c>
      <c r="Z287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288" spans="1:26" ht="13.9">
      <c r="A288" s="23" t="s">
        <v>294</v>
      </c>
      <c r="B288" s="24" t="s">
        <v>295</v>
      </c>
      <c r="C288" s="73" t="s">
        <v>746</v>
      </c>
      <c r="D288" s="25" t="s">
        <v>811</v>
      </c>
      <c r="E288" s="26" t="s">
        <v>812</v>
      </c>
      <c r="F288" s="92">
        <v>473</v>
      </c>
      <c r="G288" s="27">
        <v>4</v>
      </c>
      <c r="H288" s="27">
        <v>4</v>
      </c>
      <c r="I288" s="27">
        <v>7</v>
      </c>
      <c r="J288" s="27">
        <v>1</v>
      </c>
      <c r="K288" s="27">
        <v>0</v>
      </c>
      <c r="L288" s="27">
        <v>0</v>
      </c>
      <c r="M288" s="23">
        <f>SUM(EDProj[[#This Row],[★ Hard Case Voting Machines]:[★ Curbside (Rollie) Voting Machine]])</f>
        <v>8</v>
      </c>
      <c r="N288" s="23">
        <v>1</v>
      </c>
      <c r="O288" s="27">
        <v>6</v>
      </c>
      <c r="P288" s="27">
        <v>1</v>
      </c>
      <c r="Q288" s="23">
        <v>1</v>
      </c>
      <c r="R288" s="27">
        <f>EDProj[[#This Row],[★ Judge]]+EDProj[[#This Row],[★ Alt Judge]]+EDProj[[#This Row],[★ Clerks]]</f>
        <v>8</v>
      </c>
      <c r="S288" s="28">
        <v>1000</v>
      </c>
      <c r="T288" s="23">
        <f>EDProj[[#This Row],[★ Ballot Cards]]/250</f>
        <v>4</v>
      </c>
      <c r="U288" s="38">
        <f>EDProj[[#This Row],[★ Soft Case (ADA) Voting Machines]]+EDProj[[#This Row],[Old EPB Allocation]]</f>
        <v>5</v>
      </c>
      <c r="V288" s="38">
        <f>EDProj[[#This Row],[Tables Needed]]</f>
        <v>5</v>
      </c>
      <c r="W288" s="27">
        <v>0</v>
      </c>
      <c r="X288" s="27">
        <v>0</v>
      </c>
      <c r="Y288" s="23">
        <f>ROUNDUP(IF(EDProj[[#This Row],[Tables Needed]]-EDProj[[#This Row],[Tables Provided by the Vote Center]]&lt;0,0,EDProj[[#This Row],[Tables Needed]]-EDProj[[#This Row],[Tables Provided by the Vote Center]]),0)</f>
        <v>5</v>
      </c>
      <c r="Z288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289" spans="1:26" ht="13.9">
      <c r="A289" s="23" t="s">
        <v>294</v>
      </c>
      <c r="B289" s="24" t="s">
        <v>295</v>
      </c>
      <c r="C289" s="73" t="s">
        <v>746</v>
      </c>
      <c r="D289" s="25" t="s">
        <v>813</v>
      </c>
      <c r="E289" s="26" t="s">
        <v>814</v>
      </c>
      <c r="F289" s="92">
        <v>350</v>
      </c>
      <c r="G289" s="27">
        <v>4</v>
      </c>
      <c r="H289" s="27">
        <v>4</v>
      </c>
      <c r="I289" s="27">
        <v>4</v>
      </c>
      <c r="J289" s="27">
        <v>1</v>
      </c>
      <c r="K289" s="27">
        <v>0</v>
      </c>
      <c r="L289" s="27">
        <v>0</v>
      </c>
      <c r="M289" s="23">
        <f>SUM(EDProj[[#This Row],[★ Hard Case Voting Machines]:[★ Curbside (Rollie) Voting Machine]])</f>
        <v>5</v>
      </c>
      <c r="N289" s="23">
        <v>1</v>
      </c>
      <c r="O289" s="27">
        <v>5</v>
      </c>
      <c r="P289" s="27">
        <v>1</v>
      </c>
      <c r="Q289" s="23">
        <v>1</v>
      </c>
      <c r="R289" s="27">
        <f>EDProj[[#This Row],[★ Judge]]+EDProj[[#This Row],[★ Alt Judge]]+EDProj[[#This Row],[★ Clerks]]</f>
        <v>7</v>
      </c>
      <c r="S289" s="28">
        <v>750</v>
      </c>
      <c r="T289" s="23">
        <f>EDProj[[#This Row],[★ Ballot Cards]]/250</f>
        <v>3</v>
      </c>
      <c r="U289" s="38">
        <f>EDProj[[#This Row],[★ Soft Case (ADA) Voting Machines]]+EDProj[[#This Row],[Old EPB Allocation]]</f>
        <v>5</v>
      </c>
      <c r="V289" s="38">
        <f>EDProj[[#This Row],[Tables Needed]]</f>
        <v>5</v>
      </c>
      <c r="W289" s="27">
        <v>0</v>
      </c>
      <c r="X289" s="27">
        <v>0</v>
      </c>
      <c r="Y289" s="23">
        <f>ROUNDUP(IF(EDProj[[#This Row],[Tables Needed]]-EDProj[[#This Row],[Tables Provided by the Vote Center]]&lt;0,0,EDProj[[#This Row],[Tables Needed]]-EDProj[[#This Row],[Tables Provided by the Vote Center]]),0)</f>
        <v>5</v>
      </c>
      <c r="Z289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290" spans="1:26" ht="13.9">
      <c r="A290" s="23" t="s">
        <v>113</v>
      </c>
      <c r="B290" s="24" t="s">
        <v>127</v>
      </c>
      <c r="C290" s="73" t="s">
        <v>746</v>
      </c>
      <c r="D290" s="30" t="s">
        <v>126</v>
      </c>
      <c r="E290" s="31" t="s">
        <v>128</v>
      </c>
      <c r="F290" s="93">
        <v>704</v>
      </c>
      <c r="G290" s="27">
        <v>4</v>
      </c>
      <c r="H290" s="27">
        <v>4</v>
      </c>
      <c r="I290" s="27">
        <v>10</v>
      </c>
      <c r="J290" s="27">
        <v>1</v>
      </c>
      <c r="K290" s="27">
        <v>1</v>
      </c>
      <c r="L290" s="27">
        <v>1</v>
      </c>
      <c r="M290" s="23">
        <f>SUM(EDProj[[#This Row],[★ Hard Case Voting Machines]:[★ Curbside (Rollie) Voting Machine]])</f>
        <v>13</v>
      </c>
      <c r="N290" s="23">
        <v>1</v>
      </c>
      <c r="O290" s="27">
        <v>7</v>
      </c>
      <c r="P290" s="27">
        <v>1</v>
      </c>
      <c r="Q290" s="23">
        <v>1</v>
      </c>
      <c r="R290" s="27">
        <f>EDProj[[#This Row],[★ Judge]]+EDProj[[#This Row],[★ Alt Judge]]+EDProj[[#This Row],[★ Clerks]]</f>
        <v>9</v>
      </c>
      <c r="S290" s="28">
        <v>1250</v>
      </c>
      <c r="T290" s="23">
        <f>EDProj[[#This Row],[★ Ballot Cards]]/250</f>
        <v>5</v>
      </c>
      <c r="U290" s="38">
        <f>EDProj[[#This Row],[★ Soft Case (ADA) Voting Machines]]+EDProj[[#This Row],[Old EPB Allocation]]</f>
        <v>5</v>
      </c>
      <c r="V290" s="38">
        <f>EDProj[[#This Row],[Tables Needed]]</f>
        <v>5</v>
      </c>
      <c r="W290" s="27">
        <v>0</v>
      </c>
      <c r="X290" s="27">
        <v>0</v>
      </c>
      <c r="Y290" s="23">
        <f>ROUNDUP(IF(EDProj[[#This Row],[Tables Needed]]-EDProj[[#This Row],[Tables Provided by the Vote Center]]&lt;0,0,EDProj[[#This Row],[Tables Needed]]-EDProj[[#This Row],[Tables Provided by the Vote Center]]),0)</f>
        <v>5</v>
      </c>
      <c r="Z290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291" spans="1:26" ht="13.9">
      <c r="A291" s="23" t="s">
        <v>294</v>
      </c>
      <c r="B291" s="24" t="s">
        <v>295</v>
      </c>
      <c r="C291" s="73" t="s">
        <v>746</v>
      </c>
      <c r="D291" s="30" t="s">
        <v>815</v>
      </c>
      <c r="E291" s="31" t="s">
        <v>816</v>
      </c>
      <c r="F291" s="93">
        <v>413</v>
      </c>
      <c r="G291" s="27">
        <v>4</v>
      </c>
      <c r="H291" s="27">
        <v>4</v>
      </c>
      <c r="I291" s="27">
        <v>8</v>
      </c>
      <c r="J291" s="27">
        <v>1</v>
      </c>
      <c r="K291" s="27">
        <v>0</v>
      </c>
      <c r="L291" s="27">
        <v>0</v>
      </c>
      <c r="M291" s="23">
        <f>SUM(EDProj[[#This Row],[★ Hard Case Voting Machines]:[★ Curbside (Rollie) Voting Machine]])</f>
        <v>9</v>
      </c>
      <c r="N291" s="23">
        <v>1</v>
      </c>
      <c r="O291" s="27">
        <v>6</v>
      </c>
      <c r="P291" s="27">
        <v>1</v>
      </c>
      <c r="Q291" s="23">
        <v>1</v>
      </c>
      <c r="R291" s="27">
        <f>EDProj[[#This Row],[★ Judge]]+EDProj[[#This Row],[★ Alt Judge]]+EDProj[[#This Row],[★ Clerks]]</f>
        <v>8</v>
      </c>
      <c r="S291" s="28">
        <v>750</v>
      </c>
      <c r="T291" s="23">
        <f>EDProj[[#This Row],[★ Ballot Cards]]/250</f>
        <v>3</v>
      </c>
      <c r="U291" s="38">
        <f>EDProj[[#This Row],[★ Soft Case (ADA) Voting Machines]]+EDProj[[#This Row],[Old EPB Allocation]]</f>
        <v>5</v>
      </c>
      <c r="V291" s="38">
        <f>EDProj[[#This Row],[Tables Needed]]</f>
        <v>5</v>
      </c>
      <c r="W291" s="27">
        <v>0</v>
      </c>
      <c r="X291" s="27">
        <v>0</v>
      </c>
      <c r="Y291" s="23">
        <f>ROUNDUP(IF(EDProj[[#This Row],[Tables Needed]]-EDProj[[#This Row],[Tables Provided by the Vote Center]]&lt;0,0,EDProj[[#This Row],[Tables Needed]]-EDProj[[#This Row],[Tables Provided by the Vote Center]]),0)</f>
        <v>5</v>
      </c>
      <c r="Z291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292" spans="1:26" ht="13.9">
      <c r="A292" s="23" t="s">
        <v>294</v>
      </c>
      <c r="B292" s="24" t="s">
        <v>295</v>
      </c>
      <c r="C292" s="73" t="s">
        <v>746</v>
      </c>
      <c r="D292" s="30" t="s">
        <v>817</v>
      </c>
      <c r="E292" s="31" t="s">
        <v>818</v>
      </c>
      <c r="F292" s="93">
        <v>186</v>
      </c>
      <c r="G292" s="27">
        <v>4</v>
      </c>
      <c r="H292" s="27">
        <v>4</v>
      </c>
      <c r="I292" s="27">
        <v>3</v>
      </c>
      <c r="J292" s="27">
        <v>1</v>
      </c>
      <c r="K292" s="27">
        <v>0</v>
      </c>
      <c r="L292" s="27">
        <v>0</v>
      </c>
      <c r="M292" s="23">
        <f>SUM(EDProj[[#This Row],[★ Hard Case Voting Machines]:[★ Curbside (Rollie) Voting Machine]])</f>
        <v>4</v>
      </c>
      <c r="N292" s="23">
        <v>1</v>
      </c>
      <c r="O292" s="27">
        <v>4</v>
      </c>
      <c r="P292" s="27">
        <v>1</v>
      </c>
      <c r="Q292" s="23">
        <v>1</v>
      </c>
      <c r="R292" s="27">
        <f>EDProj[[#This Row],[★ Judge]]+EDProj[[#This Row],[★ Alt Judge]]+EDProj[[#This Row],[★ Clerks]]</f>
        <v>6</v>
      </c>
      <c r="S292" s="28">
        <v>500</v>
      </c>
      <c r="T292" s="23">
        <f>EDProj[[#This Row],[★ Ballot Cards]]/250</f>
        <v>2</v>
      </c>
      <c r="U292" s="38">
        <f>EDProj[[#This Row],[★ Soft Case (ADA) Voting Machines]]+EDProj[[#This Row],[Old EPB Allocation]]</f>
        <v>5</v>
      </c>
      <c r="V292" s="38">
        <f>EDProj[[#This Row],[Tables Needed]]</f>
        <v>5</v>
      </c>
      <c r="W292" s="27">
        <v>0</v>
      </c>
      <c r="X292" s="27">
        <v>0</v>
      </c>
      <c r="Y292" s="23">
        <f>ROUNDUP(IF(EDProj[[#This Row],[Tables Needed]]-EDProj[[#This Row],[Tables Provided by the Vote Center]]&lt;0,0,EDProj[[#This Row],[Tables Needed]]-EDProj[[#This Row],[Tables Provided by the Vote Center]]),0)</f>
        <v>5</v>
      </c>
      <c r="Z292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293" spans="1:26" ht="13.9">
      <c r="A293" s="23" t="s">
        <v>294</v>
      </c>
      <c r="B293" s="24" t="s">
        <v>295</v>
      </c>
      <c r="C293" s="73" t="s">
        <v>819</v>
      </c>
      <c r="D293" s="25" t="s">
        <v>820</v>
      </c>
      <c r="E293" s="26" t="s">
        <v>821</v>
      </c>
      <c r="F293" s="92">
        <v>191</v>
      </c>
      <c r="G293" s="27">
        <v>4</v>
      </c>
      <c r="H293" s="27">
        <v>4</v>
      </c>
      <c r="I293" s="27">
        <v>3</v>
      </c>
      <c r="J293" s="27">
        <v>1</v>
      </c>
      <c r="K293" s="27">
        <v>0</v>
      </c>
      <c r="L293" s="27">
        <v>0</v>
      </c>
      <c r="M293" s="23">
        <f>SUM(EDProj[[#This Row],[★ Hard Case Voting Machines]:[★ Curbside (Rollie) Voting Machine]])</f>
        <v>4</v>
      </c>
      <c r="N293" s="23">
        <v>1</v>
      </c>
      <c r="O293" s="27">
        <v>4</v>
      </c>
      <c r="P293" s="23">
        <v>1</v>
      </c>
      <c r="Q293" s="23">
        <v>1</v>
      </c>
      <c r="R293" s="27">
        <f>EDProj[[#This Row],[★ Judge]]+EDProj[[#This Row],[★ Alt Judge]]+EDProj[[#This Row],[★ Clerks]]</f>
        <v>6</v>
      </c>
      <c r="S293" s="28">
        <v>500</v>
      </c>
      <c r="T293" s="23">
        <f>EDProj[[#This Row],[★ Ballot Cards]]/250</f>
        <v>2</v>
      </c>
      <c r="U293" s="38">
        <f>EDProj[[#This Row],[★ Soft Case (ADA) Voting Machines]]+EDProj[[#This Row],[Old EPB Allocation]]</f>
        <v>5</v>
      </c>
      <c r="V293" s="38">
        <f>EDProj[[#This Row],[Tables Needed]]</f>
        <v>5</v>
      </c>
      <c r="W293" s="27">
        <v>10</v>
      </c>
      <c r="X293" s="27">
        <v>10</v>
      </c>
      <c r="Y293" s="23">
        <f>ROUNDUP(IF(EDProj[[#This Row],[Tables Needed]]-EDProj[[#This Row],[Tables Provided by the Vote Center]]&lt;0,0,EDProj[[#This Row],[Tables Needed]]-EDProj[[#This Row],[Tables Provided by the Vote Center]]),0)</f>
        <v>0</v>
      </c>
      <c r="Z293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294" spans="1:26" ht="13.9">
      <c r="A294" s="23" t="s">
        <v>294</v>
      </c>
      <c r="B294" s="24" t="s">
        <v>295</v>
      </c>
      <c r="C294" s="73" t="s">
        <v>819</v>
      </c>
      <c r="D294" s="30" t="s">
        <v>822</v>
      </c>
      <c r="E294" s="31" t="s">
        <v>823</v>
      </c>
      <c r="F294" s="93">
        <v>60</v>
      </c>
      <c r="G294" s="27">
        <v>4</v>
      </c>
      <c r="H294" s="27">
        <v>4</v>
      </c>
      <c r="I294" s="27">
        <v>2</v>
      </c>
      <c r="J294" s="27">
        <v>1</v>
      </c>
      <c r="K294" s="27">
        <v>0</v>
      </c>
      <c r="L294" s="27">
        <v>0</v>
      </c>
      <c r="M294" s="23">
        <f>SUM(EDProj[[#This Row],[★ Hard Case Voting Machines]:[★ Curbside (Rollie) Voting Machine]])</f>
        <v>3</v>
      </c>
      <c r="N294" s="23">
        <v>1</v>
      </c>
      <c r="O294" s="27">
        <v>4</v>
      </c>
      <c r="P294" s="27">
        <v>1</v>
      </c>
      <c r="Q294" s="23">
        <v>1</v>
      </c>
      <c r="R294" s="27">
        <f>EDProj[[#This Row],[★ Judge]]+EDProj[[#This Row],[★ Alt Judge]]+EDProj[[#This Row],[★ Clerks]]</f>
        <v>6</v>
      </c>
      <c r="S294" s="28">
        <v>500</v>
      </c>
      <c r="T294" s="23">
        <f>EDProj[[#This Row],[★ Ballot Cards]]/250</f>
        <v>2</v>
      </c>
      <c r="U294" s="38">
        <f>EDProj[[#This Row],[★ Soft Case (ADA) Voting Machines]]+EDProj[[#This Row],[Old EPB Allocation]]</f>
        <v>5</v>
      </c>
      <c r="V294" s="38">
        <f>EDProj[[#This Row],[Tables Needed]]</f>
        <v>5</v>
      </c>
      <c r="W294" s="27">
        <v>0</v>
      </c>
      <c r="X294" s="27">
        <v>0</v>
      </c>
      <c r="Y294" s="23">
        <f>ROUNDUP(IF(EDProj[[#This Row],[Tables Needed]]-EDProj[[#This Row],[Tables Provided by the Vote Center]]&lt;0,0,EDProj[[#This Row],[Tables Needed]]-EDProj[[#This Row],[Tables Provided by the Vote Center]]),0)</f>
        <v>5</v>
      </c>
      <c r="Z294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295" spans="1:26" ht="13.9">
      <c r="A295" s="23" t="s">
        <v>294</v>
      </c>
      <c r="B295" s="24" t="s">
        <v>295</v>
      </c>
      <c r="C295" s="73" t="s">
        <v>819</v>
      </c>
      <c r="D295" s="25" t="s">
        <v>824</v>
      </c>
      <c r="E295" s="26" t="s">
        <v>825</v>
      </c>
      <c r="F295" s="92">
        <v>427</v>
      </c>
      <c r="G295" s="27">
        <v>4</v>
      </c>
      <c r="H295" s="27">
        <v>4</v>
      </c>
      <c r="I295" s="27">
        <v>5</v>
      </c>
      <c r="J295" s="27">
        <v>1</v>
      </c>
      <c r="K295" s="27">
        <v>0</v>
      </c>
      <c r="L295" s="27">
        <v>0</v>
      </c>
      <c r="M295" s="23">
        <f>SUM(EDProj[[#This Row],[★ Hard Case Voting Machines]:[★ Curbside (Rollie) Voting Machine]])</f>
        <v>6</v>
      </c>
      <c r="N295" s="23">
        <v>1</v>
      </c>
      <c r="O295" s="27">
        <v>6</v>
      </c>
      <c r="P295" s="27">
        <v>1</v>
      </c>
      <c r="Q295" s="23">
        <v>1</v>
      </c>
      <c r="R295" s="27">
        <f>EDProj[[#This Row],[★ Judge]]+EDProj[[#This Row],[★ Alt Judge]]+EDProj[[#This Row],[★ Clerks]]</f>
        <v>8</v>
      </c>
      <c r="S295" s="28">
        <v>750</v>
      </c>
      <c r="T295" s="23">
        <f>EDProj[[#This Row],[★ Ballot Cards]]/250</f>
        <v>3</v>
      </c>
      <c r="U295" s="38">
        <f>EDProj[[#This Row],[★ Soft Case (ADA) Voting Machines]]+EDProj[[#This Row],[Old EPB Allocation]]</f>
        <v>5</v>
      </c>
      <c r="V295" s="38">
        <f>EDProj[[#This Row],[Tables Needed]]</f>
        <v>5</v>
      </c>
      <c r="W295" s="27">
        <v>0</v>
      </c>
      <c r="X295" s="27">
        <v>0</v>
      </c>
      <c r="Y295" s="23">
        <f>ROUNDUP(IF(EDProj[[#This Row],[Tables Needed]]-EDProj[[#This Row],[Tables Provided by the Vote Center]]&lt;0,0,EDProj[[#This Row],[Tables Needed]]-EDProj[[#This Row],[Tables Provided by the Vote Center]]),0)</f>
        <v>5</v>
      </c>
      <c r="Z295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296" spans="1:26" ht="13.9">
      <c r="A296" s="23" t="s">
        <v>294</v>
      </c>
      <c r="B296" s="24" t="s">
        <v>295</v>
      </c>
      <c r="C296" s="73" t="s">
        <v>819</v>
      </c>
      <c r="D296" s="30" t="s">
        <v>826</v>
      </c>
      <c r="E296" s="31" t="s">
        <v>827</v>
      </c>
      <c r="F296" s="93">
        <v>48</v>
      </c>
      <c r="G296" s="27">
        <v>4</v>
      </c>
      <c r="H296" s="27">
        <v>4</v>
      </c>
      <c r="I296" s="27">
        <v>2</v>
      </c>
      <c r="J296" s="27">
        <v>1</v>
      </c>
      <c r="K296" s="27">
        <v>0</v>
      </c>
      <c r="L296" s="27">
        <v>0</v>
      </c>
      <c r="M296" s="23">
        <f>SUM(EDProj[[#This Row],[★ Hard Case Voting Machines]:[★ Curbside (Rollie) Voting Machine]])</f>
        <v>3</v>
      </c>
      <c r="N296" s="23">
        <v>1</v>
      </c>
      <c r="O296" s="27">
        <v>4</v>
      </c>
      <c r="P296" s="27">
        <v>1</v>
      </c>
      <c r="Q296" s="23">
        <v>1</v>
      </c>
      <c r="R296" s="27">
        <f>EDProj[[#This Row],[★ Judge]]+EDProj[[#This Row],[★ Alt Judge]]+EDProj[[#This Row],[★ Clerks]]</f>
        <v>6</v>
      </c>
      <c r="S296" s="28">
        <v>500</v>
      </c>
      <c r="T296" s="23">
        <f>EDProj[[#This Row],[★ Ballot Cards]]/250</f>
        <v>2</v>
      </c>
      <c r="U296" s="38">
        <f>EDProj[[#This Row],[★ Soft Case (ADA) Voting Machines]]+EDProj[[#This Row],[Old EPB Allocation]]</f>
        <v>5</v>
      </c>
      <c r="V296" s="38">
        <f>EDProj[[#This Row],[Tables Needed]]</f>
        <v>5</v>
      </c>
      <c r="W296" s="27">
        <v>6</v>
      </c>
      <c r="X296" s="27">
        <v>12</v>
      </c>
      <c r="Y296" s="23">
        <f>ROUNDUP(IF(EDProj[[#This Row],[Tables Needed]]-EDProj[[#This Row],[Tables Provided by the Vote Center]]&lt;0,0,EDProj[[#This Row],[Tables Needed]]-EDProj[[#This Row],[Tables Provided by the Vote Center]]),0)</f>
        <v>0</v>
      </c>
      <c r="Z296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297" spans="1:26" ht="13.9">
      <c r="A297" s="23" t="s">
        <v>113</v>
      </c>
      <c r="B297" s="24" t="s">
        <v>181</v>
      </c>
      <c r="C297" s="73" t="s">
        <v>819</v>
      </c>
      <c r="D297" s="32" t="s">
        <v>180</v>
      </c>
      <c r="E297" s="26" t="s">
        <v>182</v>
      </c>
      <c r="F297" s="92">
        <v>1223</v>
      </c>
      <c r="G297" s="27">
        <v>4</v>
      </c>
      <c r="H297" s="27">
        <v>6</v>
      </c>
      <c r="I297" s="27">
        <v>8</v>
      </c>
      <c r="J297" s="27">
        <v>1</v>
      </c>
      <c r="K297" s="27">
        <v>1</v>
      </c>
      <c r="L297" s="27">
        <v>1</v>
      </c>
      <c r="M297" s="23">
        <f>SUM(EDProj[[#This Row],[★ Hard Case Voting Machines]:[★ Curbside (Rollie) Voting Machine]])</f>
        <v>11</v>
      </c>
      <c r="N297" s="23">
        <v>1</v>
      </c>
      <c r="O297" s="27">
        <v>8</v>
      </c>
      <c r="P297" s="23">
        <v>1</v>
      </c>
      <c r="Q297" s="23">
        <v>1</v>
      </c>
      <c r="R297" s="27">
        <f>EDProj[[#This Row],[★ Judge]]+EDProj[[#This Row],[★ Alt Judge]]+EDProj[[#This Row],[★ Clerks]]</f>
        <v>10</v>
      </c>
      <c r="S297" s="28">
        <v>1000</v>
      </c>
      <c r="T297" s="23">
        <f>EDProj[[#This Row],[★ Ballot Cards]]/250</f>
        <v>4</v>
      </c>
      <c r="U297" s="38">
        <f>EDProj[[#This Row],[★ Soft Case (ADA) Voting Machines]]+EDProj[[#This Row],[Old EPB Allocation]]</f>
        <v>5</v>
      </c>
      <c r="V297" s="38">
        <f>EDProj[[#This Row],[Tables Needed]]</f>
        <v>5</v>
      </c>
      <c r="W297" s="27">
        <v>0</v>
      </c>
      <c r="X297" s="27">
        <v>0</v>
      </c>
      <c r="Y297" s="23">
        <f>ROUNDUP(IF(EDProj[[#This Row],[Tables Needed]]-EDProj[[#This Row],[Tables Provided by the Vote Center]]&lt;0,0,EDProj[[#This Row],[Tables Needed]]-EDProj[[#This Row],[Tables Provided by the Vote Center]]),0)</f>
        <v>5</v>
      </c>
      <c r="Z297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298" spans="1:26" ht="13.9">
      <c r="A298" s="23" t="s">
        <v>294</v>
      </c>
      <c r="B298" s="24" t="s">
        <v>295</v>
      </c>
      <c r="C298" s="73" t="s">
        <v>819</v>
      </c>
      <c r="D298" s="25" t="s">
        <v>828</v>
      </c>
      <c r="E298" s="26" t="s">
        <v>829</v>
      </c>
      <c r="F298" s="92">
        <v>403</v>
      </c>
      <c r="G298" s="27">
        <v>4</v>
      </c>
      <c r="H298" s="27">
        <v>4</v>
      </c>
      <c r="I298" s="27">
        <v>5</v>
      </c>
      <c r="J298" s="27">
        <v>1</v>
      </c>
      <c r="K298" s="27">
        <v>0</v>
      </c>
      <c r="L298" s="27">
        <v>1</v>
      </c>
      <c r="M298" s="23">
        <f>SUM(EDProj[[#This Row],[★ Hard Case Voting Machines]:[★ Curbside (Rollie) Voting Machine]])</f>
        <v>7</v>
      </c>
      <c r="N298" s="23">
        <v>1</v>
      </c>
      <c r="O298" s="27">
        <v>5</v>
      </c>
      <c r="P298" s="27">
        <v>1</v>
      </c>
      <c r="Q298" s="23">
        <v>1</v>
      </c>
      <c r="R298" s="27">
        <f>EDProj[[#This Row],[★ Judge]]+EDProj[[#This Row],[★ Alt Judge]]+EDProj[[#This Row],[★ Clerks]]</f>
        <v>7</v>
      </c>
      <c r="S298" s="28">
        <v>750</v>
      </c>
      <c r="T298" s="23">
        <f>EDProj[[#This Row],[★ Ballot Cards]]/250</f>
        <v>3</v>
      </c>
      <c r="U298" s="38">
        <f>EDProj[[#This Row],[★ Soft Case (ADA) Voting Machines]]+EDProj[[#This Row],[Old EPB Allocation]]</f>
        <v>5</v>
      </c>
      <c r="V298" s="38">
        <f>EDProj[[#This Row],[Tables Needed]]</f>
        <v>5</v>
      </c>
      <c r="W298" s="27">
        <v>0</v>
      </c>
      <c r="X298" s="27">
        <v>0</v>
      </c>
      <c r="Y298" s="23">
        <f>ROUNDUP(IF(EDProj[[#This Row],[Tables Needed]]-EDProj[[#This Row],[Tables Provided by the Vote Center]]&lt;0,0,EDProj[[#This Row],[Tables Needed]]-EDProj[[#This Row],[Tables Provided by the Vote Center]]),0)</f>
        <v>5</v>
      </c>
      <c r="Z298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299" spans="1:26" ht="13.9">
      <c r="A299" s="23" t="s">
        <v>294</v>
      </c>
      <c r="B299" s="24" t="s">
        <v>295</v>
      </c>
      <c r="C299" s="73" t="s">
        <v>819</v>
      </c>
      <c r="D299" s="25" t="s">
        <v>830</v>
      </c>
      <c r="E299" s="26" t="s">
        <v>831</v>
      </c>
      <c r="F299" s="92">
        <v>432</v>
      </c>
      <c r="G299" s="27">
        <v>4</v>
      </c>
      <c r="H299" s="27">
        <v>4</v>
      </c>
      <c r="I299" s="27">
        <v>7</v>
      </c>
      <c r="J299" s="27">
        <v>1</v>
      </c>
      <c r="K299" s="27">
        <v>0</v>
      </c>
      <c r="L299" s="27">
        <v>0</v>
      </c>
      <c r="M299" s="23">
        <f>SUM(EDProj[[#This Row],[★ Hard Case Voting Machines]:[★ Curbside (Rollie) Voting Machine]])</f>
        <v>8</v>
      </c>
      <c r="N299" s="23">
        <v>1</v>
      </c>
      <c r="O299" s="27">
        <v>5</v>
      </c>
      <c r="P299" s="27">
        <v>1</v>
      </c>
      <c r="Q299" s="23">
        <v>1</v>
      </c>
      <c r="R299" s="27">
        <f>EDProj[[#This Row],[★ Judge]]+EDProj[[#This Row],[★ Alt Judge]]+EDProj[[#This Row],[★ Clerks]]</f>
        <v>7</v>
      </c>
      <c r="S299" s="28">
        <v>750</v>
      </c>
      <c r="T299" s="23">
        <f>EDProj[[#This Row],[★ Ballot Cards]]/250</f>
        <v>3</v>
      </c>
      <c r="U299" s="38">
        <f>EDProj[[#This Row],[★ Soft Case (ADA) Voting Machines]]+EDProj[[#This Row],[Old EPB Allocation]]</f>
        <v>5</v>
      </c>
      <c r="V299" s="38">
        <f>EDProj[[#This Row],[Tables Needed]]</f>
        <v>5</v>
      </c>
      <c r="W299" s="27">
        <v>0</v>
      </c>
      <c r="X299" s="27">
        <v>0</v>
      </c>
      <c r="Y299" s="23">
        <f>ROUNDUP(IF(EDProj[[#This Row],[Tables Needed]]-EDProj[[#This Row],[Tables Provided by the Vote Center]]&lt;0,0,EDProj[[#This Row],[Tables Needed]]-EDProj[[#This Row],[Tables Provided by the Vote Center]]),0)</f>
        <v>5</v>
      </c>
      <c r="Z299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300" spans="1:26" ht="13.9">
      <c r="A300" s="23" t="s">
        <v>294</v>
      </c>
      <c r="B300" s="24" t="s">
        <v>295</v>
      </c>
      <c r="C300" s="73" t="s">
        <v>819</v>
      </c>
      <c r="D300" s="25" t="s">
        <v>832</v>
      </c>
      <c r="E300" s="26" t="s">
        <v>833</v>
      </c>
      <c r="F300" s="92">
        <v>459</v>
      </c>
      <c r="G300" s="27">
        <v>4</v>
      </c>
      <c r="H300" s="27">
        <v>4</v>
      </c>
      <c r="I300" s="27">
        <v>7</v>
      </c>
      <c r="J300" s="27">
        <v>1</v>
      </c>
      <c r="K300" s="27">
        <v>0</v>
      </c>
      <c r="L300" s="27">
        <v>0</v>
      </c>
      <c r="M300" s="23">
        <f>SUM(EDProj[[#This Row],[★ Hard Case Voting Machines]:[★ Curbside (Rollie) Voting Machine]])</f>
        <v>8</v>
      </c>
      <c r="N300" s="23">
        <v>1</v>
      </c>
      <c r="O300" s="27">
        <v>5</v>
      </c>
      <c r="P300" s="27">
        <v>1</v>
      </c>
      <c r="Q300" s="23">
        <v>1</v>
      </c>
      <c r="R300" s="27">
        <f>EDProj[[#This Row],[★ Judge]]+EDProj[[#This Row],[★ Alt Judge]]+EDProj[[#This Row],[★ Clerks]]</f>
        <v>7</v>
      </c>
      <c r="S300" s="28">
        <v>750</v>
      </c>
      <c r="T300" s="23">
        <f>EDProj[[#This Row],[★ Ballot Cards]]/250</f>
        <v>3</v>
      </c>
      <c r="U300" s="38">
        <f>EDProj[[#This Row],[★ Soft Case (ADA) Voting Machines]]+EDProj[[#This Row],[Old EPB Allocation]]</f>
        <v>5</v>
      </c>
      <c r="V300" s="38">
        <f>EDProj[[#This Row],[Tables Needed]]</f>
        <v>5</v>
      </c>
      <c r="W300" s="27">
        <v>0</v>
      </c>
      <c r="X300" s="27">
        <v>0</v>
      </c>
      <c r="Y300" s="23">
        <f>ROUNDUP(IF(EDProj[[#This Row],[Tables Needed]]-EDProj[[#This Row],[Tables Provided by the Vote Center]]&lt;0,0,EDProj[[#This Row],[Tables Needed]]-EDProj[[#This Row],[Tables Provided by the Vote Center]]),0)</f>
        <v>5</v>
      </c>
      <c r="Z300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301" spans="1:26" ht="13.9">
      <c r="A301" s="23" t="s">
        <v>294</v>
      </c>
      <c r="B301" s="24" t="s">
        <v>295</v>
      </c>
      <c r="C301" s="73" t="s">
        <v>819</v>
      </c>
      <c r="D301" s="25" t="s">
        <v>834</v>
      </c>
      <c r="E301" s="26" t="s">
        <v>835</v>
      </c>
      <c r="F301" s="92">
        <v>377</v>
      </c>
      <c r="G301" s="27">
        <v>4</v>
      </c>
      <c r="H301" s="27">
        <v>4</v>
      </c>
      <c r="I301" s="27">
        <v>7</v>
      </c>
      <c r="J301" s="27">
        <v>1</v>
      </c>
      <c r="K301" s="27">
        <v>0</v>
      </c>
      <c r="L301" s="27">
        <v>0</v>
      </c>
      <c r="M301" s="23">
        <f>SUM(EDProj[[#This Row],[★ Hard Case Voting Machines]:[★ Curbside (Rollie) Voting Machine]])</f>
        <v>8</v>
      </c>
      <c r="N301" s="23">
        <v>1</v>
      </c>
      <c r="O301" s="27">
        <v>5</v>
      </c>
      <c r="P301" s="27">
        <v>1</v>
      </c>
      <c r="Q301" s="23">
        <v>1</v>
      </c>
      <c r="R301" s="27">
        <f>EDProj[[#This Row],[★ Judge]]+EDProj[[#This Row],[★ Alt Judge]]+EDProj[[#This Row],[★ Clerks]]</f>
        <v>7</v>
      </c>
      <c r="S301" s="28">
        <v>750</v>
      </c>
      <c r="T301" s="23">
        <f>EDProj[[#This Row],[★ Ballot Cards]]/250</f>
        <v>3</v>
      </c>
      <c r="U301" s="38">
        <f>EDProj[[#This Row],[★ Soft Case (ADA) Voting Machines]]+EDProj[[#This Row],[Old EPB Allocation]]</f>
        <v>5</v>
      </c>
      <c r="V301" s="38">
        <f>EDProj[[#This Row],[Tables Needed]]</f>
        <v>5</v>
      </c>
      <c r="W301" s="27">
        <v>0</v>
      </c>
      <c r="X301" s="27">
        <v>0</v>
      </c>
      <c r="Y301" s="23">
        <f>ROUNDUP(IF(EDProj[[#This Row],[Tables Needed]]-EDProj[[#This Row],[Tables Provided by the Vote Center]]&lt;0,0,EDProj[[#This Row],[Tables Needed]]-EDProj[[#This Row],[Tables Provided by the Vote Center]]),0)</f>
        <v>5</v>
      </c>
      <c r="Z301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302" spans="1:26" ht="13.9">
      <c r="A302" s="23" t="s">
        <v>294</v>
      </c>
      <c r="B302" s="24" t="s">
        <v>295</v>
      </c>
      <c r="C302" s="73" t="s">
        <v>819</v>
      </c>
      <c r="D302" s="25" t="s">
        <v>836</v>
      </c>
      <c r="E302" s="26" t="s">
        <v>837</v>
      </c>
      <c r="F302" s="92">
        <v>490</v>
      </c>
      <c r="G302" s="27">
        <v>4</v>
      </c>
      <c r="H302" s="27">
        <v>4</v>
      </c>
      <c r="I302" s="27">
        <v>8</v>
      </c>
      <c r="J302" s="27">
        <v>1</v>
      </c>
      <c r="K302" s="27">
        <v>0</v>
      </c>
      <c r="L302" s="27">
        <v>0</v>
      </c>
      <c r="M302" s="23">
        <f>SUM(EDProj[[#This Row],[★ Hard Case Voting Machines]:[★ Curbside (Rollie) Voting Machine]])</f>
        <v>9</v>
      </c>
      <c r="N302" s="23">
        <v>1</v>
      </c>
      <c r="O302" s="27">
        <v>6</v>
      </c>
      <c r="P302" s="27">
        <v>1</v>
      </c>
      <c r="Q302" s="23">
        <v>1</v>
      </c>
      <c r="R302" s="27">
        <f>EDProj[[#This Row],[★ Judge]]+EDProj[[#This Row],[★ Alt Judge]]+EDProj[[#This Row],[★ Clerks]]</f>
        <v>8</v>
      </c>
      <c r="S302" s="28">
        <v>1000</v>
      </c>
      <c r="T302" s="23">
        <f>EDProj[[#This Row],[★ Ballot Cards]]/250</f>
        <v>4</v>
      </c>
      <c r="U302" s="38">
        <f>EDProj[[#This Row],[★ Soft Case (ADA) Voting Machines]]+EDProj[[#This Row],[Old EPB Allocation]]</f>
        <v>5</v>
      </c>
      <c r="V302" s="38">
        <f>EDProj[[#This Row],[Tables Needed]]</f>
        <v>5</v>
      </c>
      <c r="W302" s="27">
        <v>0</v>
      </c>
      <c r="X302" s="27">
        <v>0</v>
      </c>
      <c r="Y302" s="23">
        <f>ROUNDUP(IF(EDProj[[#This Row],[Tables Needed]]-EDProj[[#This Row],[Tables Provided by the Vote Center]]&lt;0,0,EDProj[[#This Row],[Tables Needed]]-EDProj[[#This Row],[Tables Provided by the Vote Center]]),0)</f>
        <v>5</v>
      </c>
      <c r="Z302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303" spans="1:26" ht="13.9">
      <c r="A303" s="23" t="s">
        <v>113</v>
      </c>
      <c r="B303" s="24" t="s">
        <v>172</v>
      </c>
      <c r="C303" s="73" t="s">
        <v>819</v>
      </c>
      <c r="D303" s="30" t="s">
        <v>171</v>
      </c>
      <c r="E303" s="31" t="s">
        <v>173</v>
      </c>
      <c r="F303" s="93">
        <v>1382</v>
      </c>
      <c r="G303" s="27">
        <v>6</v>
      </c>
      <c r="H303" s="27">
        <v>7</v>
      </c>
      <c r="I303" s="27">
        <v>27</v>
      </c>
      <c r="J303" s="27">
        <v>1</v>
      </c>
      <c r="K303" s="27">
        <v>2</v>
      </c>
      <c r="L303" s="27">
        <v>1</v>
      </c>
      <c r="M303" s="23">
        <f>SUM(EDProj[[#This Row],[★ Hard Case Voting Machines]:[★ Curbside (Rollie) Voting Machine]])</f>
        <v>31</v>
      </c>
      <c r="N303" s="23">
        <v>1</v>
      </c>
      <c r="O303" s="27">
        <v>14</v>
      </c>
      <c r="P303" s="27">
        <v>1</v>
      </c>
      <c r="Q303" s="23">
        <v>1</v>
      </c>
      <c r="R303" s="27">
        <f>EDProj[[#This Row],[★ Judge]]+EDProj[[#This Row],[★ Alt Judge]]+EDProj[[#This Row],[★ Clerks]]</f>
        <v>16</v>
      </c>
      <c r="S303" s="28">
        <v>2250</v>
      </c>
      <c r="T303" s="23">
        <f>EDProj[[#This Row],[★ Ballot Cards]]/250</f>
        <v>9</v>
      </c>
      <c r="U303" s="38">
        <f>EDProj[[#This Row],[★ Soft Case (ADA) Voting Machines]]+EDProj[[#This Row],[Old EPB Allocation]]</f>
        <v>7</v>
      </c>
      <c r="V303" s="38">
        <f>EDProj[[#This Row],[Tables Needed]]</f>
        <v>7</v>
      </c>
      <c r="W303" s="27">
        <v>0</v>
      </c>
      <c r="X303" s="27">
        <v>0</v>
      </c>
      <c r="Y303" s="23">
        <f>ROUNDUP(IF(EDProj[[#This Row],[Tables Needed]]-EDProj[[#This Row],[Tables Provided by the Vote Center]]&lt;0,0,EDProj[[#This Row],[Tables Needed]]-EDProj[[#This Row],[Tables Provided by the Vote Center]]),0)</f>
        <v>7</v>
      </c>
      <c r="Z303" s="23">
        <f>ROUNDUP(IF(EDProj[[#This Row],[Chairs Needed]]-EDProj[[#This Row],[Chairs Provided by the Vote Center]]&lt;0,0,EDProj[[#This Row],[Chairs Needed]]-EDProj[[#This Row],[Chairs Provided by the Vote Center]]),0)</f>
        <v>7</v>
      </c>
    </row>
    <row r="304" spans="1:26" ht="13.9">
      <c r="A304" s="23" t="s">
        <v>294</v>
      </c>
      <c r="B304" s="24" t="s">
        <v>295</v>
      </c>
      <c r="C304" s="73" t="s">
        <v>819</v>
      </c>
      <c r="D304" s="25" t="s">
        <v>838</v>
      </c>
      <c r="E304" s="26" t="s">
        <v>839</v>
      </c>
      <c r="F304" s="92">
        <v>287</v>
      </c>
      <c r="G304" s="27">
        <v>4</v>
      </c>
      <c r="H304" s="27">
        <v>4</v>
      </c>
      <c r="I304" s="27">
        <v>4</v>
      </c>
      <c r="J304" s="27">
        <v>1</v>
      </c>
      <c r="K304" s="27">
        <v>0</v>
      </c>
      <c r="L304" s="27">
        <v>0</v>
      </c>
      <c r="M304" s="23">
        <f>SUM(EDProj[[#This Row],[★ Hard Case Voting Machines]:[★ Curbside (Rollie) Voting Machine]])</f>
        <v>5</v>
      </c>
      <c r="N304" s="23">
        <v>1</v>
      </c>
      <c r="O304" s="27">
        <v>5</v>
      </c>
      <c r="P304" s="27">
        <v>1</v>
      </c>
      <c r="Q304" s="23">
        <v>1</v>
      </c>
      <c r="R304" s="27">
        <f>EDProj[[#This Row],[★ Judge]]+EDProj[[#This Row],[★ Alt Judge]]+EDProj[[#This Row],[★ Clerks]]</f>
        <v>7</v>
      </c>
      <c r="S304" s="28">
        <v>500</v>
      </c>
      <c r="T304" s="23">
        <f>EDProj[[#This Row],[★ Ballot Cards]]/250</f>
        <v>2</v>
      </c>
      <c r="U304" s="38">
        <f>EDProj[[#This Row],[★ Soft Case (ADA) Voting Machines]]+EDProj[[#This Row],[Old EPB Allocation]]</f>
        <v>5</v>
      </c>
      <c r="V304" s="38">
        <f>EDProj[[#This Row],[Tables Needed]]</f>
        <v>5</v>
      </c>
      <c r="W304" s="27">
        <v>0</v>
      </c>
      <c r="X304" s="27">
        <v>0</v>
      </c>
      <c r="Y304" s="23">
        <f>ROUNDUP(IF(EDProj[[#This Row],[Tables Needed]]-EDProj[[#This Row],[Tables Provided by the Vote Center]]&lt;0,0,EDProj[[#This Row],[Tables Needed]]-EDProj[[#This Row],[Tables Provided by the Vote Center]]),0)</f>
        <v>5</v>
      </c>
      <c r="Z304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305" spans="1:26" ht="13.9">
      <c r="A305" s="23" t="s">
        <v>294</v>
      </c>
      <c r="B305" s="24" t="s">
        <v>295</v>
      </c>
      <c r="C305" s="73" t="s">
        <v>819</v>
      </c>
      <c r="D305" s="25" t="s">
        <v>840</v>
      </c>
      <c r="E305" s="26" t="s">
        <v>841</v>
      </c>
      <c r="F305" s="92">
        <v>171</v>
      </c>
      <c r="G305" s="27">
        <v>4</v>
      </c>
      <c r="H305" s="27">
        <v>4</v>
      </c>
      <c r="I305" s="27">
        <v>3</v>
      </c>
      <c r="J305" s="27">
        <v>1</v>
      </c>
      <c r="K305" s="27">
        <v>0</v>
      </c>
      <c r="L305" s="27">
        <v>0</v>
      </c>
      <c r="M305" s="23">
        <f>SUM(EDProj[[#This Row],[★ Hard Case Voting Machines]:[★ Curbside (Rollie) Voting Machine]])</f>
        <v>4</v>
      </c>
      <c r="N305" s="23">
        <v>1</v>
      </c>
      <c r="O305" s="27">
        <v>4</v>
      </c>
      <c r="P305" s="27">
        <v>1</v>
      </c>
      <c r="Q305" s="23">
        <v>1</v>
      </c>
      <c r="R305" s="27">
        <f>EDProj[[#This Row],[★ Judge]]+EDProj[[#This Row],[★ Alt Judge]]+EDProj[[#This Row],[★ Clerks]]</f>
        <v>6</v>
      </c>
      <c r="S305" s="28">
        <v>500</v>
      </c>
      <c r="T305" s="23">
        <f>EDProj[[#This Row],[★ Ballot Cards]]/250</f>
        <v>2</v>
      </c>
      <c r="U305" s="38">
        <f>EDProj[[#This Row],[★ Soft Case (ADA) Voting Machines]]+EDProj[[#This Row],[Old EPB Allocation]]</f>
        <v>5</v>
      </c>
      <c r="V305" s="38">
        <f>EDProj[[#This Row],[Tables Needed]]</f>
        <v>5</v>
      </c>
      <c r="W305" s="27">
        <v>0</v>
      </c>
      <c r="X305" s="27">
        <v>0</v>
      </c>
      <c r="Y305" s="23">
        <f>ROUNDUP(IF(EDProj[[#This Row],[Tables Needed]]-EDProj[[#This Row],[Tables Provided by the Vote Center]]&lt;0,0,EDProj[[#This Row],[Tables Needed]]-EDProj[[#This Row],[Tables Provided by the Vote Center]]),0)</f>
        <v>5</v>
      </c>
      <c r="Z305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306" spans="1:26" ht="13.9">
      <c r="A306" s="23" t="s">
        <v>294</v>
      </c>
      <c r="B306" s="24" t="s">
        <v>295</v>
      </c>
      <c r="C306" s="73" t="s">
        <v>819</v>
      </c>
      <c r="D306" s="25" t="s">
        <v>842</v>
      </c>
      <c r="E306" s="26" t="s">
        <v>843</v>
      </c>
      <c r="F306" s="92">
        <v>723</v>
      </c>
      <c r="G306" s="27">
        <v>4</v>
      </c>
      <c r="H306" s="27">
        <v>4</v>
      </c>
      <c r="I306" s="27">
        <v>11</v>
      </c>
      <c r="J306" s="27">
        <v>1</v>
      </c>
      <c r="K306" s="27">
        <v>0</v>
      </c>
      <c r="L306" s="27">
        <v>0</v>
      </c>
      <c r="M306" s="23">
        <f>SUM(EDProj[[#This Row],[★ Hard Case Voting Machines]:[★ Curbside (Rollie) Voting Machine]])</f>
        <v>12</v>
      </c>
      <c r="N306" s="23">
        <v>1</v>
      </c>
      <c r="O306" s="27">
        <v>6</v>
      </c>
      <c r="P306" s="27">
        <v>1</v>
      </c>
      <c r="Q306" s="23">
        <v>1</v>
      </c>
      <c r="R306" s="27">
        <f>EDProj[[#This Row],[★ Judge]]+EDProj[[#This Row],[★ Alt Judge]]+EDProj[[#This Row],[★ Clerks]]</f>
        <v>8</v>
      </c>
      <c r="S306" s="28">
        <v>1250</v>
      </c>
      <c r="T306" s="23">
        <f>EDProj[[#This Row],[★ Ballot Cards]]/250</f>
        <v>5</v>
      </c>
      <c r="U306" s="38">
        <f>EDProj[[#This Row],[★ Soft Case (ADA) Voting Machines]]+EDProj[[#This Row],[Old EPB Allocation]]</f>
        <v>5</v>
      </c>
      <c r="V306" s="38">
        <f>EDProj[[#This Row],[Tables Needed]]</f>
        <v>5</v>
      </c>
      <c r="W306" s="27">
        <v>10</v>
      </c>
      <c r="X306" s="27">
        <v>10</v>
      </c>
      <c r="Y306" s="23">
        <f>ROUNDUP(IF(EDProj[[#This Row],[Tables Needed]]-EDProj[[#This Row],[Tables Provided by the Vote Center]]&lt;0,0,EDProj[[#This Row],[Tables Needed]]-EDProj[[#This Row],[Tables Provided by the Vote Center]]),0)</f>
        <v>0</v>
      </c>
      <c r="Z306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307" spans="1:26" ht="13.9">
      <c r="A307" s="23" t="s">
        <v>294</v>
      </c>
      <c r="B307" s="24" t="s">
        <v>295</v>
      </c>
      <c r="C307" s="73" t="s">
        <v>819</v>
      </c>
      <c r="D307" s="25" t="s">
        <v>844</v>
      </c>
      <c r="E307" s="26" t="s">
        <v>845</v>
      </c>
      <c r="F307" s="92">
        <v>246</v>
      </c>
      <c r="G307" s="27">
        <v>4</v>
      </c>
      <c r="H307" s="27">
        <v>4</v>
      </c>
      <c r="I307" s="27">
        <v>3</v>
      </c>
      <c r="J307" s="27">
        <v>1</v>
      </c>
      <c r="K307" s="27">
        <v>0</v>
      </c>
      <c r="L307" s="27">
        <v>0</v>
      </c>
      <c r="M307" s="23">
        <f>SUM(EDProj[[#This Row],[★ Hard Case Voting Machines]:[★ Curbside (Rollie) Voting Machine]])</f>
        <v>4</v>
      </c>
      <c r="N307" s="23">
        <v>1</v>
      </c>
      <c r="O307" s="27">
        <v>4</v>
      </c>
      <c r="P307" s="27">
        <v>1</v>
      </c>
      <c r="Q307" s="23">
        <v>1</v>
      </c>
      <c r="R307" s="27">
        <f>EDProj[[#This Row],[★ Judge]]+EDProj[[#This Row],[★ Alt Judge]]+EDProj[[#This Row],[★ Clerks]]</f>
        <v>6</v>
      </c>
      <c r="S307" s="28">
        <v>500</v>
      </c>
      <c r="T307" s="23">
        <f>EDProj[[#This Row],[★ Ballot Cards]]/250</f>
        <v>2</v>
      </c>
      <c r="U307" s="38">
        <f>EDProj[[#This Row],[★ Soft Case (ADA) Voting Machines]]+EDProj[[#This Row],[Old EPB Allocation]]</f>
        <v>5</v>
      </c>
      <c r="V307" s="38">
        <f>EDProj[[#This Row],[Tables Needed]]</f>
        <v>5</v>
      </c>
      <c r="W307" s="27">
        <v>10</v>
      </c>
      <c r="X307" s="27">
        <v>40</v>
      </c>
      <c r="Y307" s="23">
        <f>ROUNDUP(IF(EDProj[[#This Row],[Tables Needed]]-EDProj[[#This Row],[Tables Provided by the Vote Center]]&lt;0,0,EDProj[[#This Row],[Tables Needed]]-EDProj[[#This Row],[Tables Provided by the Vote Center]]),0)</f>
        <v>0</v>
      </c>
      <c r="Z307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308" spans="1:26" ht="13.9">
      <c r="A308" s="23" t="s">
        <v>113</v>
      </c>
      <c r="B308" s="24" t="s">
        <v>115</v>
      </c>
      <c r="C308" s="73" t="s">
        <v>819</v>
      </c>
      <c r="D308" s="25" t="s">
        <v>114</v>
      </c>
      <c r="E308" s="26" t="s">
        <v>116</v>
      </c>
      <c r="F308" s="92">
        <v>2134</v>
      </c>
      <c r="G308" s="27">
        <v>5.3333333333333339</v>
      </c>
      <c r="H308" s="27">
        <v>6</v>
      </c>
      <c r="I308" s="27">
        <v>17</v>
      </c>
      <c r="J308" s="27">
        <v>1</v>
      </c>
      <c r="K308" s="27">
        <v>2</v>
      </c>
      <c r="L308" s="27">
        <v>1</v>
      </c>
      <c r="M308" s="23">
        <f>SUM(EDProj[[#This Row],[★ Hard Case Voting Machines]:[★ Curbside (Rollie) Voting Machine]])</f>
        <v>21</v>
      </c>
      <c r="N308" s="23">
        <v>1</v>
      </c>
      <c r="O308" s="27">
        <v>11</v>
      </c>
      <c r="P308" s="27">
        <v>1</v>
      </c>
      <c r="Q308" s="23">
        <v>1</v>
      </c>
      <c r="R308" s="27">
        <f>EDProj[[#This Row],[★ Judge]]+EDProj[[#This Row],[★ Alt Judge]]+EDProj[[#This Row],[★ Clerks]]</f>
        <v>13</v>
      </c>
      <c r="S308" s="28">
        <v>3500</v>
      </c>
      <c r="T308" s="23">
        <f>EDProj[[#This Row],[★ Ballot Cards]]/250</f>
        <v>14</v>
      </c>
      <c r="U308" s="38">
        <f>EDProj[[#This Row],[★ Soft Case (ADA) Voting Machines]]+EDProj[[#This Row],[Old EPB Allocation]]</f>
        <v>6.3333333333333339</v>
      </c>
      <c r="V308" s="38">
        <f>EDProj[[#This Row],[Tables Needed]]</f>
        <v>6.3333333333333339</v>
      </c>
      <c r="W308" s="27">
        <v>8</v>
      </c>
      <c r="X308" s="27">
        <v>20</v>
      </c>
      <c r="Y308" s="23">
        <f>ROUNDUP(IF(EDProj[[#This Row],[Tables Needed]]-EDProj[[#This Row],[Tables Provided by the Vote Center]]&lt;0,0,EDProj[[#This Row],[Tables Needed]]-EDProj[[#This Row],[Tables Provided by the Vote Center]]),0)</f>
        <v>0</v>
      </c>
      <c r="Z308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309" spans="1:26" ht="13.9">
      <c r="A309" s="23" t="s">
        <v>294</v>
      </c>
      <c r="B309" s="24" t="s">
        <v>295</v>
      </c>
      <c r="C309" s="73" t="s">
        <v>819</v>
      </c>
      <c r="D309" s="25" t="s">
        <v>846</v>
      </c>
      <c r="E309" s="26" t="s">
        <v>847</v>
      </c>
      <c r="F309" s="92">
        <v>362</v>
      </c>
      <c r="G309" s="27">
        <v>4</v>
      </c>
      <c r="H309" s="27">
        <v>4</v>
      </c>
      <c r="I309" s="27">
        <v>6</v>
      </c>
      <c r="J309" s="27">
        <v>1</v>
      </c>
      <c r="K309" s="27">
        <v>0</v>
      </c>
      <c r="L309" s="27">
        <v>0</v>
      </c>
      <c r="M309" s="23">
        <f>SUM(EDProj[[#This Row],[★ Hard Case Voting Machines]:[★ Curbside (Rollie) Voting Machine]])</f>
        <v>7</v>
      </c>
      <c r="N309" s="23">
        <v>1</v>
      </c>
      <c r="O309" s="27">
        <v>5</v>
      </c>
      <c r="P309" s="27">
        <v>1</v>
      </c>
      <c r="Q309" s="23">
        <v>1</v>
      </c>
      <c r="R309" s="27">
        <f>EDProj[[#This Row],[★ Judge]]+EDProj[[#This Row],[★ Alt Judge]]+EDProj[[#This Row],[★ Clerks]]</f>
        <v>7</v>
      </c>
      <c r="S309" s="28">
        <v>750</v>
      </c>
      <c r="T309" s="23">
        <f>EDProj[[#This Row],[★ Ballot Cards]]/250</f>
        <v>3</v>
      </c>
      <c r="U309" s="38">
        <f>EDProj[[#This Row],[★ Soft Case (ADA) Voting Machines]]+EDProj[[#This Row],[Old EPB Allocation]]</f>
        <v>5</v>
      </c>
      <c r="V309" s="38">
        <f>EDProj[[#This Row],[Tables Needed]]</f>
        <v>5</v>
      </c>
      <c r="W309" s="27">
        <v>2</v>
      </c>
      <c r="X309" s="27">
        <v>60</v>
      </c>
      <c r="Y309" s="23">
        <f>ROUNDUP(IF(EDProj[[#This Row],[Tables Needed]]-EDProj[[#This Row],[Tables Provided by the Vote Center]]&lt;0,0,EDProj[[#This Row],[Tables Needed]]-EDProj[[#This Row],[Tables Provided by the Vote Center]]),0)</f>
        <v>3</v>
      </c>
      <c r="Z309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310" spans="1:26" ht="13.9">
      <c r="A310" s="23" t="s">
        <v>294</v>
      </c>
      <c r="B310" s="24" t="s">
        <v>295</v>
      </c>
      <c r="C310" s="73" t="s">
        <v>819</v>
      </c>
      <c r="D310" s="25" t="s">
        <v>848</v>
      </c>
      <c r="E310" s="26" t="s">
        <v>849</v>
      </c>
      <c r="F310" s="92">
        <v>655</v>
      </c>
      <c r="G310" s="27">
        <v>4</v>
      </c>
      <c r="H310" s="27">
        <v>4</v>
      </c>
      <c r="I310" s="27">
        <v>11</v>
      </c>
      <c r="J310" s="27">
        <v>1</v>
      </c>
      <c r="K310" s="27">
        <v>0</v>
      </c>
      <c r="L310" s="27">
        <v>1</v>
      </c>
      <c r="M310" s="23">
        <f>SUM(EDProj[[#This Row],[★ Hard Case Voting Machines]:[★ Curbside (Rollie) Voting Machine]])</f>
        <v>13</v>
      </c>
      <c r="N310" s="23">
        <v>1</v>
      </c>
      <c r="O310" s="27">
        <v>7</v>
      </c>
      <c r="P310" s="27">
        <v>1</v>
      </c>
      <c r="Q310" s="23">
        <v>1</v>
      </c>
      <c r="R310" s="27">
        <f>EDProj[[#This Row],[★ Judge]]+EDProj[[#This Row],[★ Alt Judge]]+EDProj[[#This Row],[★ Clerks]]</f>
        <v>9</v>
      </c>
      <c r="S310" s="28">
        <v>1250</v>
      </c>
      <c r="T310" s="23">
        <f>EDProj[[#This Row],[★ Ballot Cards]]/250</f>
        <v>5</v>
      </c>
      <c r="U310" s="38">
        <f>EDProj[[#This Row],[★ Soft Case (ADA) Voting Machines]]+EDProj[[#This Row],[Old EPB Allocation]]</f>
        <v>5</v>
      </c>
      <c r="V310" s="38">
        <f>EDProj[[#This Row],[Tables Needed]]</f>
        <v>5</v>
      </c>
      <c r="W310" s="27">
        <v>0</v>
      </c>
      <c r="X310" s="27">
        <v>0</v>
      </c>
      <c r="Y310" s="23">
        <f>ROUNDUP(IF(EDProj[[#This Row],[Tables Needed]]-EDProj[[#This Row],[Tables Provided by the Vote Center]]&lt;0,0,EDProj[[#This Row],[Tables Needed]]-EDProj[[#This Row],[Tables Provided by the Vote Center]]),0)</f>
        <v>5</v>
      </c>
      <c r="Z310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311" spans="1:26" ht="13.9">
      <c r="A311" s="23" t="s">
        <v>294</v>
      </c>
      <c r="B311" s="24" t="s">
        <v>295</v>
      </c>
      <c r="C311" s="73" t="s">
        <v>819</v>
      </c>
      <c r="D311" s="25" t="s">
        <v>850</v>
      </c>
      <c r="E311" s="26" t="s">
        <v>851</v>
      </c>
      <c r="F311" s="92">
        <v>400</v>
      </c>
      <c r="G311" s="27">
        <v>4</v>
      </c>
      <c r="H311" s="27">
        <v>4</v>
      </c>
      <c r="I311" s="27">
        <v>7</v>
      </c>
      <c r="J311" s="27">
        <v>1</v>
      </c>
      <c r="K311" s="27">
        <v>0</v>
      </c>
      <c r="L311" s="27">
        <v>0</v>
      </c>
      <c r="M311" s="23">
        <f>SUM(EDProj[[#This Row],[★ Hard Case Voting Machines]:[★ Curbside (Rollie) Voting Machine]])</f>
        <v>8</v>
      </c>
      <c r="N311" s="23">
        <v>1</v>
      </c>
      <c r="O311" s="27">
        <v>5</v>
      </c>
      <c r="P311" s="27">
        <v>1</v>
      </c>
      <c r="Q311" s="23">
        <v>1</v>
      </c>
      <c r="R311" s="27">
        <f>EDProj[[#This Row],[★ Judge]]+EDProj[[#This Row],[★ Alt Judge]]+EDProj[[#This Row],[★ Clerks]]</f>
        <v>7</v>
      </c>
      <c r="S311" s="28">
        <v>750</v>
      </c>
      <c r="T311" s="23">
        <f>EDProj[[#This Row],[★ Ballot Cards]]/250</f>
        <v>3</v>
      </c>
      <c r="U311" s="38">
        <f>EDProj[[#This Row],[★ Soft Case (ADA) Voting Machines]]+EDProj[[#This Row],[Old EPB Allocation]]</f>
        <v>5</v>
      </c>
      <c r="V311" s="38">
        <f>EDProj[[#This Row],[Tables Needed]]</f>
        <v>5</v>
      </c>
      <c r="W311" s="27">
        <v>0</v>
      </c>
      <c r="X311" s="27">
        <v>0</v>
      </c>
      <c r="Y311" s="23">
        <f>ROUNDUP(IF(EDProj[[#This Row],[Tables Needed]]-EDProj[[#This Row],[Tables Provided by the Vote Center]]&lt;0,0,EDProj[[#This Row],[Tables Needed]]-EDProj[[#This Row],[Tables Provided by the Vote Center]]),0)</f>
        <v>5</v>
      </c>
      <c r="Z311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312" spans="1:26" ht="13.9">
      <c r="A312" s="23" t="s">
        <v>294</v>
      </c>
      <c r="B312" s="24" t="s">
        <v>295</v>
      </c>
      <c r="C312" s="73" t="s">
        <v>819</v>
      </c>
      <c r="D312" s="25" t="s">
        <v>852</v>
      </c>
      <c r="E312" s="26" t="s">
        <v>853</v>
      </c>
      <c r="F312" s="92">
        <v>193</v>
      </c>
      <c r="G312" s="27">
        <v>4</v>
      </c>
      <c r="H312" s="27">
        <v>4</v>
      </c>
      <c r="I312" s="27">
        <v>3</v>
      </c>
      <c r="J312" s="27">
        <v>1</v>
      </c>
      <c r="K312" s="27">
        <v>0</v>
      </c>
      <c r="L312" s="27">
        <v>0</v>
      </c>
      <c r="M312" s="23">
        <f>SUM(EDProj[[#This Row],[★ Hard Case Voting Machines]:[★ Curbside (Rollie) Voting Machine]])</f>
        <v>4</v>
      </c>
      <c r="N312" s="23">
        <v>1</v>
      </c>
      <c r="O312" s="27">
        <v>4</v>
      </c>
      <c r="P312" s="27">
        <v>1</v>
      </c>
      <c r="Q312" s="23">
        <v>1</v>
      </c>
      <c r="R312" s="27">
        <f>EDProj[[#This Row],[★ Judge]]+EDProj[[#This Row],[★ Alt Judge]]+EDProj[[#This Row],[★ Clerks]]</f>
        <v>6</v>
      </c>
      <c r="S312" s="28">
        <v>500</v>
      </c>
      <c r="T312" s="23">
        <f>EDProj[[#This Row],[★ Ballot Cards]]/250</f>
        <v>2</v>
      </c>
      <c r="U312" s="38">
        <f>EDProj[[#This Row],[★ Soft Case (ADA) Voting Machines]]+EDProj[[#This Row],[Old EPB Allocation]]</f>
        <v>5</v>
      </c>
      <c r="V312" s="38">
        <f>EDProj[[#This Row],[Tables Needed]]</f>
        <v>5</v>
      </c>
      <c r="W312" s="27">
        <v>0</v>
      </c>
      <c r="X312" s="27">
        <v>0</v>
      </c>
      <c r="Y312" s="23">
        <f>ROUNDUP(IF(EDProj[[#This Row],[Tables Needed]]-EDProj[[#This Row],[Tables Provided by the Vote Center]]&lt;0,0,EDProj[[#This Row],[Tables Needed]]-EDProj[[#This Row],[Tables Provided by the Vote Center]]),0)</f>
        <v>5</v>
      </c>
      <c r="Z312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313" spans="1:26" ht="13.9">
      <c r="A313" s="23" t="s">
        <v>294</v>
      </c>
      <c r="B313" s="24" t="s">
        <v>295</v>
      </c>
      <c r="C313" s="73" t="s">
        <v>819</v>
      </c>
      <c r="D313" s="25" t="s">
        <v>854</v>
      </c>
      <c r="E313" s="26" t="s">
        <v>855</v>
      </c>
      <c r="F313" s="92">
        <v>257</v>
      </c>
      <c r="G313" s="27">
        <v>4</v>
      </c>
      <c r="H313" s="27">
        <v>4</v>
      </c>
      <c r="I313" s="27">
        <v>4</v>
      </c>
      <c r="J313" s="27">
        <v>1</v>
      </c>
      <c r="K313" s="27">
        <v>0</v>
      </c>
      <c r="L313" s="27">
        <v>0</v>
      </c>
      <c r="M313" s="23">
        <f>SUM(EDProj[[#This Row],[★ Hard Case Voting Machines]:[★ Curbside (Rollie) Voting Machine]])</f>
        <v>5</v>
      </c>
      <c r="N313" s="23">
        <v>1</v>
      </c>
      <c r="O313" s="27">
        <v>5</v>
      </c>
      <c r="P313" s="27">
        <v>1</v>
      </c>
      <c r="Q313" s="23">
        <v>1</v>
      </c>
      <c r="R313" s="27">
        <f>EDProj[[#This Row],[★ Judge]]+EDProj[[#This Row],[★ Alt Judge]]+EDProj[[#This Row],[★ Clerks]]</f>
        <v>7</v>
      </c>
      <c r="S313" s="28">
        <v>500</v>
      </c>
      <c r="T313" s="23">
        <f>EDProj[[#This Row],[★ Ballot Cards]]/250</f>
        <v>2</v>
      </c>
      <c r="U313" s="38">
        <f>EDProj[[#This Row],[★ Soft Case (ADA) Voting Machines]]+EDProj[[#This Row],[Old EPB Allocation]]</f>
        <v>5</v>
      </c>
      <c r="V313" s="38">
        <f>EDProj[[#This Row],[Tables Needed]]</f>
        <v>5</v>
      </c>
      <c r="W313" s="27">
        <v>0</v>
      </c>
      <c r="X313" s="27">
        <v>0</v>
      </c>
      <c r="Y313" s="23">
        <f>ROUNDUP(IF(EDProj[[#This Row],[Tables Needed]]-EDProj[[#This Row],[Tables Provided by the Vote Center]]&lt;0,0,EDProj[[#This Row],[Tables Needed]]-EDProj[[#This Row],[Tables Provided by the Vote Center]]),0)</f>
        <v>5</v>
      </c>
      <c r="Z313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314" spans="1:26" ht="13.9">
      <c r="A314" s="23" t="s">
        <v>294</v>
      </c>
      <c r="B314" s="24" t="s">
        <v>295</v>
      </c>
      <c r="C314" s="73" t="s">
        <v>819</v>
      </c>
      <c r="D314" s="25" t="s">
        <v>856</v>
      </c>
      <c r="E314" s="26" t="s">
        <v>857</v>
      </c>
      <c r="F314" s="92">
        <v>697</v>
      </c>
      <c r="G314" s="27">
        <v>4</v>
      </c>
      <c r="H314" s="27">
        <v>4</v>
      </c>
      <c r="I314" s="27">
        <v>10</v>
      </c>
      <c r="J314" s="27">
        <v>1</v>
      </c>
      <c r="K314" s="27">
        <v>0</v>
      </c>
      <c r="L314" s="27">
        <v>0</v>
      </c>
      <c r="M314" s="23">
        <f>SUM(EDProj[[#This Row],[★ Hard Case Voting Machines]:[★ Curbside (Rollie) Voting Machine]])</f>
        <v>11</v>
      </c>
      <c r="N314" s="23">
        <v>1</v>
      </c>
      <c r="O314" s="27">
        <v>6</v>
      </c>
      <c r="P314" s="27">
        <v>1</v>
      </c>
      <c r="Q314" s="23">
        <v>1</v>
      </c>
      <c r="R314" s="27">
        <f>EDProj[[#This Row],[★ Judge]]+EDProj[[#This Row],[★ Alt Judge]]+EDProj[[#This Row],[★ Clerks]]</f>
        <v>8</v>
      </c>
      <c r="S314" s="28">
        <v>1250</v>
      </c>
      <c r="T314" s="23">
        <f>EDProj[[#This Row],[★ Ballot Cards]]/250</f>
        <v>5</v>
      </c>
      <c r="U314" s="38">
        <f>EDProj[[#This Row],[★ Soft Case (ADA) Voting Machines]]+EDProj[[#This Row],[Old EPB Allocation]]</f>
        <v>5</v>
      </c>
      <c r="V314" s="38">
        <f>EDProj[[#This Row],[Tables Needed]]</f>
        <v>5</v>
      </c>
      <c r="W314" s="27">
        <v>0</v>
      </c>
      <c r="X314" s="27">
        <v>0</v>
      </c>
      <c r="Y314" s="23">
        <f>ROUNDUP(IF(EDProj[[#This Row],[Tables Needed]]-EDProj[[#This Row],[Tables Provided by the Vote Center]]&lt;0,0,EDProj[[#This Row],[Tables Needed]]-EDProj[[#This Row],[Tables Provided by the Vote Center]]),0)</f>
        <v>5</v>
      </c>
      <c r="Z314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315" spans="1:26" ht="13.9">
      <c r="A315" s="23" t="s">
        <v>294</v>
      </c>
      <c r="B315" s="24" t="s">
        <v>295</v>
      </c>
      <c r="C315" s="73" t="s">
        <v>819</v>
      </c>
      <c r="D315" s="25" t="s">
        <v>858</v>
      </c>
      <c r="E315" s="26" t="s">
        <v>859</v>
      </c>
      <c r="F315" s="92">
        <v>134</v>
      </c>
      <c r="G315" s="27">
        <v>4</v>
      </c>
      <c r="H315" s="27">
        <v>4</v>
      </c>
      <c r="I315" s="27">
        <v>2</v>
      </c>
      <c r="J315" s="27">
        <v>1</v>
      </c>
      <c r="K315" s="27">
        <v>0</v>
      </c>
      <c r="L315" s="27">
        <v>0</v>
      </c>
      <c r="M315" s="23">
        <f>SUM(EDProj[[#This Row],[★ Hard Case Voting Machines]:[★ Curbside (Rollie) Voting Machine]])</f>
        <v>3</v>
      </c>
      <c r="N315" s="23">
        <v>1</v>
      </c>
      <c r="O315" s="27">
        <v>4</v>
      </c>
      <c r="P315" s="27">
        <v>1</v>
      </c>
      <c r="Q315" s="23">
        <v>1</v>
      </c>
      <c r="R315" s="27">
        <f>EDProj[[#This Row],[★ Judge]]+EDProj[[#This Row],[★ Alt Judge]]+EDProj[[#This Row],[★ Clerks]]</f>
        <v>6</v>
      </c>
      <c r="S315" s="28">
        <v>500</v>
      </c>
      <c r="T315" s="23">
        <f>EDProj[[#This Row],[★ Ballot Cards]]/250</f>
        <v>2</v>
      </c>
      <c r="U315" s="38">
        <f>EDProj[[#This Row],[★ Soft Case (ADA) Voting Machines]]+EDProj[[#This Row],[Old EPB Allocation]]</f>
        <v>5</v>
      </c>
      <c r="V315" s="38">
        <f>EDProj[[#This Row],[Tables Needed]]</f>
        <v>5</v>
      </c>
      <c r="W315" s="27">
        <v>0</v>
      </c>
      <c r="X315" s="27">
        <v>0</v>
      </c>
      <c r="Y315" s="23">
        <f>ROUNDUP(IF(EDProj[[#This Row],[Tables Needed]]-EDProj[[#This Row],[Tables Provided by the Vote Center]]&lt;0,0,EDProj[[#This Row],[Tables Needed]]-EDProj[[#This Row],[Tables Provided by the Vote Center]]),0)</f>
        <v>5</v>
      </c>
      <c r="Z315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316" spans="1:26" ht="13.9">
      <c r="A316" s="23" t="s">
        <v>294</v>
      </c>
      <c r="B316" s="24" t="s">
        <v>295</v>
      </c>
      <c r="C316" s="73" t="s">
        <v>819</v>
      </c>
      <c r="D316" s="25" t="s">
        <v>860</v>
      </c>
      <c r="E316" s="26" t="s">
        <v>861</v>
      </c>
      <c r="F316" s="92">
        <v>137</v>
      </c>
      <c r="G316" s="27">
        <v>4</v>
      </c>
      <c r="H316" s="27">
        <v>4</v>
      </c>
      <c r="I316" s="27">
        <v>3</v>
      </c>
      <c r="J316" s="27">
        <v>1</v>
      </c>
      <c r="K316" s="27">
        <v>0</v>
      </c>
      <c r="L316" s="27">
        <v>0</v>
      </c>
      <c r="M316" s="23">
        <f>SUM(EDProj[[#This Row],[★ Hard Case Voting Machines]:[★ Curbside (Rollie) Voting Machine]])</f>
        <v>4</v>
      </c>
      <c r="N316" s="23">
        <v>1</v>
      </c>
      <c r="O316" s="27">
        <v>4</v>
      </c>
      <c r="P316" s="27">
        <v>1</v>
      </c>
      <c r="Q316" s="23">
        <v>1</v>
      </c>
      <c r="R316" s="27">
        <f>EDProj[[#This Row],[★ Judge]]+EDProj[[#This Row],[★ Alt Judge]]+EDProj[[#This Row],[★ Clerks]]</f>
        <v>6</v>
      </c>
      <c r="S316" s="28">
        <v>500</v>
      </c>
      <c r="T316" s="23">
        <f>EDProj[[#This Row],[★ Ballot Cards]]/250</f>
        <v>2</v>
      </c>
      <c r="U316" s="38">
        <f>EDProj[[#This Row],[★ Soft Case (ADA) Voting Machines]]+EDProj[[#This Row],[Old EPB Allocation]]</f>
        <v>5</v>
      </c>
      <c r="V316" s="38">
        <f>EDProj[[#This Row],[Tables Needed]]</f>
        <v>5</v>
      </c>
      <c r="W316" s="27">
        <v>0</v>
      </c>
      <c r="X316" s="27">
        <v>0</v>
      </c>
      <c r="Y316" s="23">
        <f>ROUNDUP(IF(EDProj[[#This Row],[Tables Needed]]-EDProj[[#This Row],[Tables Provided by the Vote Center]]&lt;0,0,EDProj[[#This Row],[Tables Needed]]-EDProj[[#This Row],[Tables Provided by the Vote Center]]),0)</f>
        <v>5</v>
      </c>
      <c r="Z316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317" spans="1:26" ht="13.9">
      <c r="A317" s="23" t="s">
        <v>113</v>
      </c>
      <c r="B317" s="24" t="s">
        <v>148</v>
      </c>
      <c r="C317" s="73" t="s">
        <v>819</v>
      </c>
      <c r="D317" s="25" t="s">
        <v>147</v>
      </c>
      <c r="E317" s="26" t="s">
        <v>149</v>
      </c>
      <c r="F317" s="92">
        <v>2762</v>
      </c>
      <c r="G317" s="27">
        <v>6.166666666666667</v>
      </c>
      <c r="H317" s="27">
        <v>9</v>
      </c>
      <c r="I317" s="27">
        <v>22</v>
      </c>
      <c r="J317" s="27">
        <v>1</v>
      </c>
      <c r="K317" s="27">
        <v>2</v>
      </c>
      <c r="L317" s="27">
        <v>1</v>
      </c>
      <c r="M317" s="23">
        <f>SUM(EDProj[[#This Row],[★ Hard Case Voting Machines]:[★ Curbside (Rollie) Voting Machine]])</f>
        <v>26</v>
      </c>
      <c r="N317" s="23">
        <v>1</v>
      </c>
      <c r="O317" s="27">
        <v>15</v>
      </c>
      <c r="P317" s="27">
        <v>1</v>
      </c>
      <c r="Q317" s="23">
        <v>1</v>
      </c>
      <c r="R317" s="27">
        <f>EDProj[[#This Row],[★ Judge]]+EDProj[[#This Row],[★ Alt Judge]]+EDProj[[#This Row],[★ Clerks]]</f>
        <v>17</v>
      </c>
      <c r="S317" s="28">
        <v>4500</v>
      </c>
      <c r="T317" s="23">
        <f>EDProj[[#This Row],[★ Ballot Cards]]/250</f>
        <v>18</v>
      </c>
      <c r="U317" s="38">
        <f>EDProj[[#This Row],[★ Soft Case (ADA) Voting Machines]]+EDProj[[#This Row],[Old EPB Allocation]]</f>
        <v>7.166666666666667</v>
      </c>
      <c r="V317" s="38">
        <f>EDProj[[#This Row],[Tables Needed]]</f>
        <v>7.166666666666667</v>
      </c>
      <c r="W317" s="27">
        <v>10</v>
      </c>
      <c r="X317" s="27">
        <v>20</v>
      </c>
      <c r="Y317" s="23">
        <f>ROUNDUP(IF(EDProj[[#This Row],[Tables Needed]]-EDProj[[#This Row],[Tables Provided by the Vote Center]]&lt;0,0,EDProj[[#This Row],[Tables Needed]]-EDProj[[#This Row],[Tables Provided by the Vote Center]]),0)</f>
        <v>0</v>
      </c>
      <c r="Z317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318" spans="1:26" ht="13.9">
      <c r="A318" s="23" t="s">
        <v>294</v>
      </c>
      <c r="B318" s="24" t="s">
        <v>295</v>
      </c>
      <c r="C318" s="73" t="s">
        <v>819</v>
      </c>
      <c r="D318" s="25" t="s">
        <v>862</v>
      </c>
      <c r="E318" s="26" t="s">
        <v>863</v>
      </c>
      <c r="F318" s="92">
        <v>244</v>
      </c>
      <c r="G318" s="27">
        <v>4</v>
      </c>
      <c r="H318" s="27">
        <v>4</v>
      </c>
      <c r="I318" s="27">
        <v>3</v>
      </c>
      <c r="J318" s="27">
        <v>1</v>
      </c>
      <c r="K318" s="27">
        <v>0</v>
      </c>
      <c r="L318" s="27">
        <v>0</v>
      </c>
      <c r="M318" s="23">
        <f>SUM(EDProj[[#This Row],[★ Hard Case Voting Machines]:[★ Curbside (Rollie) Voting Machine]])</f>
        <v>4</v>
      </c>
      <c r="N318" s="23">
        <v>1</v>
      </c>
      <c r="O318" s="27">
        <v>4</v>
      </c>
      <c r="P318" s="27">
        <v>1</v>
      </c>
      <c r="Q318" s="23">
        <v>1</v>
      </c>
      <c r="R318" s="27">
        <f>EDProj[[#This Row],[★ Judge]]+EDProj[[#This Row],[★ Alt Judge]]+EDProj[[#This Row],[★ Clerks]]</f>
        <v>6</v>
      </c>
      <c r="S318" s="28">
        <v>500</v>
      </c>
      <c r="T318" s="23">
        <f>EDProj[[#This Row],[★ Ballot Cards]]/250</f>
        <v>2</v>
      </c>
      <c r="U318" s="38">
        <f>EDProj[[#This Row],[★ Soft Case (ADA) Voting Machines]]+EDProj[[#This Row],[Old EPB Allocation]]</f>
        <v>5</v>
      </c>
      <c r="V318" s="38">
        <f>EDProj[[#This Row],[Tables Needed]]</f>
        <v>5</v>
      </c>
      <c r="W318" s="27">
        <v>10</v>
      </c>
      <c r="X318" s="27">
        <v>20</v>
      </c>
      <c r="Y318" s="23">
        <f>ROUNDUP(IF(EDProj[[#This Row],[Tables Needed]]-EDProj[[#This Row],[Tables Provided by the Vote Center]]&lt;0,0,EDProj[[#This Row],[Tables Needed]]-EDProj[[#This Row],[Tables Provided by the Vote Center]]),0)</f>
        <v>0</v>
      </c>
      <c r="Z318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319" spans="1:26" ht="13.9">
      <c r="A319" s="23" t="s">
        <v>294</v>
      </c>
      <c r="B319" s="24" t="s">
        <v>295</v>
      </c>
      <c r="C319" s="73" t="s">
        <v>819</v>
      </c>
      <c r="D319" s="25" t="s">
        <v>864</v>
      </c>
      <c r="E319" s="26" t="s">
        <v>865</v>
      </c>
      <c r="F319" s="92">
        <v>304</v>
      </c>
      <c r="G319" s="27">
        <v>4</v>
      </c>
      <c r="H319" s="27">
        <v>4</v>
      </c>
      <c r="I319" s="27">
        <v>6</v>
      </c>
      <c r="J319" s="27">
        <v>1</v>
      </c>
      <c r="K319" s="27">
        <v>0</v>
      </c>
      <c r="L319" s="27">
        <v>0</v>
      </c>
      <c r="M319" s="23">
        <f>SUM(EDProj[[#This Row],[★ Hard Case Voting Machines]:[★ Curbside (Rollie) Voting Machine]])</f>
        <v>7</v>
      </c>
      <c r="N319" s="23">
        <v>1</v>
      </c>
      <c r="O319" s="27">
        <v>5</v>
      </c>
      <c r="P319" s="27">
        <v>1</v>
      </c>
      <c r="Q319" s="23">
        <v>1</v>
      </c>
      <c r="R319" s="27">
        <f>EDProj[[#This Row],[★ Judge]]+EDProj[[#This Row],[★ Alt Judge]]+EDProj[[#This Row],[★ Clerks]]</f>
        <v>7</v>
      </c>
      <c r="S319" s="28">
        <v>500</v>
      </c>
      <c r="T319" s="23">
        <f>EDProj[[#This Row],[★ Ballot Cards]]/250</f>
        <v>2</v>
      </c>
      <c r="U319" s="38">
        <f>EDProj[[#This Row],[★ Soft Case (ADA) Voting Machines]]+EDProj[[#This Row],[Old EPB Allocation]]</f>
        <v>5</v>
      </c>
      <c r="V319" s="38">
        <f>EDProj[[#This Row],[Tables Needed]]</f>
        <v>5</v>
      </c>
      <c r="W319" s="27">
        <v>4</v>
      </c>
      <c r="X319" s="27">
        <v>8</v>
      </c>
      <c r="Y319" s="23">
        <f>ROUNDUP(IF(EDProj[[#This Row],[Tables Needed]]-EDProj[[#This Row],[Tables Provided by the Vote Center]]&lt;0,0,EDProj[[#This Row],[Tables Needed]]-EDProj[[#This Row],[Tables Provided by the Vote Center]]),0)</f>
        <v>1</v>
      </c>
      <c r="Z319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320" spans="1:26" ht="13.9">
      <c r="A320" s="23" t="s">
        <v>294</v>
      </c>
      <c r="B320" s="24" t="s">
        <v>295</v>
      </c>
      <c r="C320" s="73" t="s">
        <v>819</v>
      </c>
      <c r="D320" s="30" t="s">
        <v>866</v>
      </c>
      <c r="E320" s="31" t="s">
        <v>867</v>
      </c>
      <c r="F320" s="93">
        <v>86</v>
      </c>
      <c r="G320" s="27">
        <v>4</v>
      </c>
      <c r="H320" s="27">
        <v>4</v>
      </c>
      <c r="I320" s="27">
        <v>2</v>
      </c>
      <c r="J320" s="27">
        <v>1</v>
      </c>
      <c r="K320" s="27">
        <v>0</v>
      </c>
      <c r="L320" s="27">
        <v>0</v>
      </c>
      <c r="M320" s="23">
        <f>SUM(EDProj[[#This Row],[★ Hard Case Voting Machines]:[★ Curbside (Rollie) Voting Machine]])</f>
        <v>3</v>
      </c>
      <c r="N320" s="23">
        <v>1</v>
      </c>
      <c r="O320" s="27">
        <v>4</v>
      </c>
      <c r="P320" s="27">
        <v>1</v>
      </c>
      <c r="Q320" s="23">
        <v>1</v>
      </c>
      <c r="R320" s="27">
        <f>EDProj[[#This Row],[★ Judge]]+EDProj[[#This Row],[★ Alt Judge]]+EDProj[[#This Row],[★ Clerks]]</f>
        <v>6</v>
      </c>
      <c r="S320" s="28">
        <v>500</v>
      </c>
      <c r="T320" s="23">
        <f>EDProj[[#This Row],[★ Ballot Cards]]/250</f>
        <v>2</v>
      </c>
      <c r="U320" s="38">
        <f>EDProj[[#This Row],[★ Soft Case (ADA) Voting Machines]]+EDProj[[#This Row],[Old EPB Allocation]]</f>
        <v>5</v>
      </c>
      <c r="V320" s="38">
        <f>EDProj[[#This Row],[Tables Needed]]</f>
        <v>5</v>
      </c>
      <c r="W320" s="27">
        <v>0</v>
      </c>
      <c r="X320" s="27">
        <v>0</v>
      </c>
      <c r="Y320" s="23">
        <f>ROUNDUP(IF(EDProj[[#This Row],[Tables Needed]]-EDProj[[#This Row],[Tables Provided by the Vote Center]]&lt;0,0,EDProj[[#This Row],[Tables Needed]]-EDProj[[#This Row],[Tables Provided by the Vote Center]]),0)</f>
        <v>5</v>
      </c>
      <c r="Z320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321" spans="1:26" ht="13.9">
      <c r="A321" s="23" t="s">
        <v>294</v>
      </c>
      <c r="B321" s="24" t="s">
        <v>295</v>
      </c>
      <c r="C321" s="73" t="s">
        <v>819</v>
      </c>
      <c r="D321" s="25" t="s">
        <v>868</v>
      </c>
      <c r="E321" s="26" t="s">
        <v>869</v>
      </c>
      <c r="F321" s="92">
        <v>437</v>
      </c>
      <c r="G321" s="27">
        <v>4</v>
      </c>
      <c r="H321" s="27">
        <v>4</v>
      </c>
      <c r="I321" s="27">
        <v>7</v>
      </c>
      <c r="J321" s="27">
        <v>1</v>
      </c>
      <c r="K321" s="27">
        <v>0</v>
      </c>
      <c r="L321" s="27">
        <v>1</v>
      </c>
      <c r="M321" s="23">
        <f>SUM(EDProj[[#This Row],[★ Hard Case Voting Machines]:[★ Curbside (Rollie) Voting Machine]])</f>
        <v>9</v>
      </c>
      <c r="N321" s="23">
        <v>1</v>
      </c>
      <c r="O321" s="27">
        <v>5</v>
      </c>
      <c r="P321" s="27">
        <v>1</v>
      </c>
      <c r="Q321" s="23">
        <v>1</v>
      </c>
      <c r="R321" s="27">
        <f>EDProj[[#This Row],[★ Judge]]+EDProj[[#This Row],[★ Alt Judge]]+EDProj[[#This Row],[★ Clerks]]</f>
        <v>7</v>
      </c>
      <c r="S321" s="28">
        <v>750</v>
      </c>
      <c r="T321" s="23">
        <f>EDProj[[#This Row],[★ Ballot Cards]]/250</f>
        <v>3</v>
      </c>
      <c r="U321" s="38">
        <f>EDProj[[#This Row],[★ Soft Case (ADA) Voting Machines]]+EDProj[[#This Row],[Old EPB Allocation]]</f>
        <v>5</v>
      </c>
      <c r="V321" s="38">
        <f>EDProj[[#This Row],[Tables Needed]]</f>
        <v>5</v>
      </c>
      <c r="W321" s="27">
        <v>4</v>
      </c>
      <c r="X321" s="27">
        <v>8</v>
      </c>
      <c r="Y321" s="23">
        <f>ROUNDUP(IF(EDProj[[#This Row],[Tables Needed]]-EDProj[[#This Row],[Tables Provided by the Vote Center]]&lt;0,0,EDProj[[#This Row],[Tables Needed]]-EDProj[[#This Row],[Tables Provided by the Vote Center]]),0)</f>
        <v>1</v>
      </c>
      <c r="Z321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322" spans="1:26" ht="13.9">
      <c r="A322" s="23" t="s">
        <v>294</v>
      </c>
      <c r="B322" s="24" t="s">
        <v>295</v>
      </c>
      <c r="C322" s="73" t="s">
        <v>819</v>
      </c>
      <c r="D322" s="25" t="s">
        <v>870</v>
      </c>
      <c r="E322" s="26" t="s">
        <v>871</v>
      </c>
      <c r="F322" s="92">
        <v>221</v>
      </c>
      <c r="G322" s="27">
        <v>4</v>
      </c>
      <c r="H322" s="27">
        <v>4</v>
      </c>
      <c r="I322" s="27">
        <v>3</v>
      </c>
      <c r="J322" s="27">
        <v>1</v>
      </c>
      <c r="K322" s="27">
        <v>0</v>
      </c>
      <c r="L322" s="27">
        <v>0</v>
      </c>
      <c r="M322" s="23">
        <f>SUM(EDProj[[#This Row],[★ Hard Case Voting Machines]:[★ Curbside (Rollie) Voting Machine]])</f>
        <v>4</v>
      </c>
      <c r="N322" s="23">
        <v>1</v>
      </c>
      <c r="O322" s="27">
        <v>4</v>
      </c>
      <c r="P322" s="27">
        <v>1</v>
      </c>
      <c r="Q322" s="23">
        <v>1</v>
      </c>
      <c r="R322" s="27">
        <f>EDProj[[#This Row],[★ Judge]]+EDProj[[#This Row],[★ Alt Judge]]+EDProj[[#This Row],[★ Clerks]]</f>
        <v>6</v>
      </c>
      <c r="S322" s="28">
        <v>500</v>
      </c>
      <c r="T322" s="23">
        <f>EDProj[[#This Row],[★ Ballot Cards]]/250</f>
        <v>2</v>
      </c>
      <c r="U322" s="38">
        <f>EDProj[[#This Row],[★ Soft Case (ADA) Voting Machines]]+EDProj[[#This Row],[Old EPB Allocation]]</f>
        <v>5</v>
      </c>
      <c r="V322" s="38">
        <f>EDProj[[#This Row],[Tables Needed]]</f>
        <v>5</v>
      </c>
      <c r="W322" s="27">
        <v>0</v>
      </c>
      <c r="X322" s="27">
        <v>0</v>
      </c>
      <c r="Y322" s="23">
        <f>ROUNDUP(IF(EDProj[[#This Row],[Tables Needed]]-EDProj[[#This Row],[Tables Provided by the Vote Center]]&lt;0,0,EDProj[[#This Row],[Tables Needed]]-EDProj[[#This Row],[Tables Provided by the Vote Center]]),0)</f>
        <v>5</v>
      </c>
      <c r="Z322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323" spans="1:26" ht="13.9">
      <c r="A323" s="23" t="s">
        <v>294</v>
      </c>
      <c r="B323" s="24" t="s">
        <v>295</v>
      </c>
      <c r="C323" s="73" t="s">
        <v>819</v>
      </c>
      <c r="D323" s="25" t="s">
        <v>872</v>
      </c>
      <c r="E323" s="26" t="s">
        <v>873</v>
      </c>
      <c r="F323" s="92">
        <v>130</v>
      </c>
      <c r="G323" s="27">
        <v>4</v>
      </c>
      <c r="H323" s="27">
        <v>4</v>
      </c>
      <c r="I323" s="27">
        <v>3</v>
      </c>
      <c r="J323" s="27">
        <v>1</v>
      </c>
      <c r="K323" s="27">
        <v>0</v>
      </c>
      <c r="L323" s="27">
        <v>0</v>
      </c>
      <c r="M323" s="23">
        <f>SUM(EDProj[[#This Row],[★ Hard Case Voting Machines]:[★ Curbside (Rollie) Voting Machine]])</f>
        <v>4</v>
      </c>
      <c r="N323" s="23">
        <v>1</v>
      </c>
      <c r="O323" s="27">
        <v>4</v>
      </c>
      <c r="P323" s="27">
        <v>1</v>
      </c>
      <c r="Q323" s="23">
        <v>1</v>
      </c>
      <c r="R323" s="27">
        <f>EDProj[[#This Row],[★ Judge]]+EDProj[[#This Row],[★ Alt Judge]]+EDProj[[#This Row],[★ Clerks]]</f>
        <v>6</v>
      </c>
      <c r="S323" s="28">
        <v>500</v>
      </c>
      <c r="T323" s="23">
        <f>EDProj[[#This Row],[★ Ballot Cards]]/250</f>
        <v>2</v>
      </c>
      <c r="U323" s="38">
        <f>EDProj[[#This Row],[★ Soft Case (ADA) Voting Machines]]+EDProj[[#This Row],[Old EPB Allocation]]</f>
        <v>5</v>
      </c>
      <c r="V323" s="38">
        <f>EDProj[[#This Row],[Tables Needed]]</f>
        <v>5</v>
      </c>
      <c r="W323" s="27">
        <v>0</v>
      </c>
      <c r="X323" s="27">
        <v>0</v>
      </c>
      <c r="Y323" s="23">
        <f>ROUNDUP(IF(EDProj[[#This Row],[Tables Needed]]-EDProj[[#This Row],[Tables Provided by the Vote Center]]&lt;0,0,EDProj[[#This Row],[Tables Needed]]-EDProj[[#This Row],[Tables Provided by the Vote Center]]),0)</f>
        <v>5</v>
      </c>
      <c r="Z323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324" spans="1:26" ht="13.9">
      <c r="A324" s="23" t="s">
        <v>294</v>
      </c>
      <c r="B324" s="24" t="s">
        <v>295</v>
      </c>
      <c r="C324" s="73" t="s">
        <v>819</v>
      </c>
      <c r="D324" s="25" t="s">
        <v>874</v>
      </c>
      <c r="E324" s="26" t="s">
        <v>875</v>
      </c>
      <c r="F324" s="92">
        <v>232</v>
      </c>
      <c r="G324" s="27">
        <v>4</v>
      </c>
      <c r="H324" s="27">
        <v>4</v>
      </c>
      <c r="I324" s="27">
        <v>4</v>
      </c>
      <c r="J324" s="27">
        <v>1</v>
      </c>
      <c r="K324" s="27">
        <v>0</v>
      </c>
      <c r="L324" s="27">
        <v>0</v>
      </c>
      <c r="M324" s="23">
        <f>SUM(EDProj[[#This Row],[★ Hard Case Voting Machines]:[★ Curbside (Rollie) Voting Machine]])</f>
        <v>5</v>
      </c>
      <c r="N324" s="23">
        <v>1</v>
      </c>
      <c r="O324" s="27">
        <v>5</v>
      </c>
      <c r="P324" s="27">
        <v>1</v>
      </c>
      <c r="Q324" s="23">
        <v>1</v>
      </c>
      <c r="R324" s="27">
        <f>EDProj[[#This Row],[★ Judge]]+EDProj[[#This Row],[★ Alt Judge]]+EDProj[[#This Row],[★ Clerks]]</f>
        <v>7</v>
      </c>
      <c r="S324" s="28">
        <v>500</v>
      </c>
      <c r="T324" s="23">
        <f>EDProj[[#This Row],[★ Ballot Cards]]/250</f>
        <v>2</v>
      </c>
      <c r="U324" s="38">
        <f>EDProj[[#This Row],[★ Soft Case (ADA) Voting Machines]]+EDProj[[#This Row],[Old EPB Allocation]]</f>
        <v>5</v>
      </c>
      <c r="V324" s="38">
        <f>EDProj[[#This Row],[Tables Needed]]</f>
        <v>5</v>
      </c>
      <c r="W324" s="27">
        <v>0</v>
      </c>
      <c r="X324" s="27">
        <v>0</v>
      </c>
      <c r="Y324" s="23">
        <f>ROUNDUP(IF(EDProj[[#This Row],[Tables Needed]]-EDProj[[#This Row],[Tables Provided by the Vote Center]]&lt;0,0,EDProj[[#This Row],[Tables Needed]]-EDProj[[#This Row],[Tables Provided by the Vote Center]]),0)</f>
        <v>5</v>
      </c>
      <c r="Z324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325" spans="1:26" ht="13.9">
      <c r="A325" s="23" t="s">
        <v>294</v>
      </c>
      <c r="B325" s="24" t="s">
        <v>295</v>
      </c>
      <c r="C325" s="73" t="s">
        <v>819</v>
      </c>
      <c r="D325" s="25" t="s">
        <v>876</v>
      </c>
      <c r="E325" s="26" t="s">
        <v>877</v>
      </c>
      <c r="F325" s="92">
        <v>378</v>
      </c>
      <c r="G325" s="27">
        <v>4</v>
      </c>
      <c r="H325" s="27">
        <v>4</v>
      </c>
      <c r="I325" s="27">
        <v>7</v>
      </c>
      <c r="J325" s="27">
        <v>1</v>
      </c>
      <c r="K325" s="27">
        <v>0</v>
      </c>
      <c r="L325" s="27">
        <v>0</v>
      </c>
      <c r="M325" s="23">
        <f>SUM(EDProj[[#This Row],[★ Hard Case Voting Machines]:[★ Curbside (Rollie) Voting Machine]])</f>
        <v>8</v>
      </c>
      <c r="N325" s="23">
        <v>1</v>
      </c>
      <c r="O325" s="27">
        <v>6</v>
      </c>
      <c r="P325" s="27">
        <v>1</v>
      </c>
      <c r="Q325" s="23">
        <v>1</v>
      </c>
      <c r="R325" s="27">
        <f>EDProj[[#This Row],[★ Judge]]+EDProj[[#This Row],[★ Alt Judge]]+EDProj[[#This Row],[★ Clerks]]</f>
        <v>8</v>
      </c>
      <c r="S325" s="28">
        <v>750</v>
      </c>
      <c r="T325" s="23">
        <f>EDProj[[#This Row],[★ Ballot Cards]]/250</f>
        <v>3</v>
      </c>
      <c r="U325" s="38">
        <f>EDProj[[#This Row],[★ Soft Case (ADA) Voting Machines]]+EDProj[[#This Row],[Old EPB Allocation]]</f>
        <v>5</v>
      </c>
      <c r="V325" s="38">
        <f>EDProj[[#This Row],[Tables Needed]]</f>
        <v>5</v>
      </c>
      <c r="W325" s="27">
        <v>4</v>
      </c>
      <c r="X325" s="27">
        <v>8</v>
      </c>
      <c r="Y325" s="23">
        <f>ROUNDUP(IF(EDProj[[#This Row],[Tables Needed]]-EDProj[[#This Row],[Tables Provided by the Vote Center]]&lt;0,0,EDProj[[#This Row],[Tables Needed]]-EDProj[[#This Row],[Tables Provided by the Vote Center]]),0)</f>
        <v>1</v>
      </c>
      <c r="Z325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326" spans="1:26" ht="13.9">
      <c r="A326" s="23" t="s">
        <v>294</v>
      </c>
      <c r="B326" s="24" t="s">
        <v>295</v>
      </c>
      <c r="C326" s="73" t="s">
        <v>819</v>
      </c>
      <c r="D326" s="25" t="s">
        <v>878</v>
      </c>
      <c r="E326" s="26" t="s">
        <v>879</v>
      </c>
      <c r="F326" s="92">
        <v>308</v>
      </c>
      <c r="G326" s="27">
        <v>4</v>
      </c>
      <c r="H326" s="27">
        <v>4</v>
      </c>
      <c r="I326" s="27">
        <v>4</v>
      </c>
      <c r="J326" s="27">
        <v>1</v>
      </c>
      <c r="K326" s="27">
        <v>0</v>
      </c>
      <c r="L326" s="27">
        <v>0</v>
      </c>
      <c r="M326" s="23">
        <f>SUM(EDProj[[#This Row],[★ Hard Case Voting Machines]:[★ Curbside (Rollie) Voting Machine]])</f>
        <v>5</v>
      </c>
      <c r="N326" s="23">
        <v>1</v>
      </c>
      <c r="O326" s="27">
        <v>5</v>
      </c>
      <c r="P326" s="27">
        <v>1</v>
      </c>
      <c r="Q326" s="23">
        <v>1</v>
      </c>
      <c r="R326" s="27">
        <f>EDProj[[#This Row],[★ Judge]]+EDProj[[#This Row],[★ Alt Judge]]+EDProj[[#This Row],[★ Clerks]]</f>
        <v>7</v>
      </c>
      <c r="S326" s="28">
        <v>500</v>
      </c>
      <c r="T326" s="23">
        <f>EDProj[[#This Row],[★ Ballot Cards]]/250</f>
        <v>2</v>
      </c>
      <c r="U326" s="38">
        <f>EDProj[[#This Row],[★ Soft Case (ADA) Voting Machines]]+EDProj[[#This Row],[Old EPB Allocation]]</f>
        <v>5</v>
      </c>
      <c r="V326" s="38">
        <f>EDProj[[#This Row],[Tables Needed]]</f>
        <v>5</v>
      </c>
      <c r="W326" s="27">
        <v>2</v>
      </c>
      <c r="X326" s="27">
        <v>25</v>
      </c>
      <c r="Y326" s="23">
        <f>ROUNDUP(IF(EDProj[[#This Row],[Tables Needed]]-EDProj[[#This Row],[Tables Provided by the Vote Center]]&lt;0,0,EDProj[[#This Row],[Tables Needed]]-EDProj[[#This Row],[Tables Provided by the Vote Center]]),0)</f>
        <v>3</v>
      </c>
      <c r="Z326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327" spans="1:26" ht="13.9">
      <c r="A327" s="23" t="s">
        <v>294</v>
      </c>
      <c r="B327" s="24" t="s">
        <v>295</v>
      </c>
      <c r="C327" s="73" t="s">
        <v>819</v>
      </c>
      <c r="D327" s="25" t="s">
        <v>880</v>
      </c>
      <c r="E327" s="26" t="s">
        <v>881</v>
      </c>
      <c r="F327" s="92">
        <v>171</v>
      </c>
      <c r="G327" s="27">
        <v>4</v>
      </c>
      <c r="H327" s="27">
        <v>4</v>
      </c>
      <c r="I327" s="27">
        <v>2</v>
      </c>
      <c r="J327" s="27">
        <v>1</v>
      </c>
      <c r="K327" s="27">
        <v>0</v>
      </c>
      <c r="L327" s="27">
        <v>0</v>
      </c>
      <c r="M327" s="23">
        <f>SUM(EDProj[[#This Row],[★ Hard Case Voting Machines]:[★ Curbside (Rollie) Voting Machine]])</f>
        <v>3</v>
      </c>
      <c r="N327" s="23">
        <v>1</v>
      </c>
      <c r="O327" s="27">
        <v>4</v>
      </c>
      <c r="P327" s="27">
        <v>1</v>
      </c>
      <c r="Q327" s="23">
        <v>1</v>
      </c>
      <c r="R327" s="27">
        <f>EDProj[[#This Row],[★ Judge]]+EDProj[[#This Row],[★ Alt Judge]]+EDProj[[#This Row],[★ Clerks]]</f>
        <v>6</v>
      </c>
      <c r="S327" s="28">
        <v>500</v>
      </c>
      <c r="T327" s="23">
        <f>EDProj[[#This Row],[★ Ballot Cards]]/250</f>
        <v>2</v>
      </c>
      <c r="U327" s="38">
        <f>EDProj[[#This Row],[★ Soft Case (ADA) Voting Machines]]+EDProj[[#This Row],[Old EPB Allocation]]</f>
        <v>5</v>
      </c>
      <c r="V327" s="38">
        <f>EDProj[[#This Row],[Tables Needed]]</f>
        <v>5</v>
      </c>
      <c r="W327" s="27">
        <v>0</v>
      </c>
      <c r="X327" s="27">
        <v>0</v>
      </c>
      <c r="Y327" s="23">
        <f>ROUNDUP(IF(EDProj[[#This Row],[Tables Needed]]-EDProj[[#This Row],[Tables Provided by the Vote Center]]&lt;0,0,EDProj[[#This Row],[Tables Needed]]-EDProj[[#This Row],[Tables Provided by the Vote Center]]),0)</f>
        <v>5</v>
      </c>
      <c r="Z327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328" spans="1:26" ht="13.9">
      <c r="A328" s="23" t="s">
        <v>113</v>
      </c>
      <c r="B328" s="24" t="s">
        <v>145</v>
      </c>
      <c r="C328" s="73" t="s">
        <v>819</v>
      </c>
      <c r="D328" s="30" t="s">
        <v>144</v>
      </c>
      <c r="E328" s="31" t="s">
        <v>146</v>
      </c>
      <c r="F328" s="93">
        <v>2766</v>
      </c>
      <c r="G328" s="27">
        <v>6.333333333333333</v>
      </c>
      <c r="H328" s="27">
        <v>16</v>
      </c>
      <c r="I328" s="27">
        <v>23</v>
      </c>
      <c r="J328" s="27">
        <v>1</v>
      </c>
      <c r="K328" s="27">
        <v>2</v>
      </c>
      <c r="L328" s="27">
        <v>2</v>
      </c>
      <c r="M328" s="23">
        <f>SUM(EDProj[[#This Row],[★ Hard Case Voting Machines]:[★ Curbside (Rollie) Voting Machine]])</f>
        <v>28</v>
      </c>
      <c r="N328" s="23">
        <v>1</v>
      </c>
      <c r="O328" s="27">
        <v>22</v>
      </c>
      <c r="P328" s="27">
        <v>1</v>
      </c>
      <c r="Q328" s="23">
        <v>1</v>
      </c>
      <c r="R328" s="27">
        <f>EDProj[[#This Row],[★ Judge]]+EDProj[[#This Row],[★ Alt Judge]]+EDProj[[#This Row],[★ Clerks]]</f>
        <v>24</v>
      </c>
      <c r="S328" s="28">
        <v>4500</v>
      </c>
      <c r="T328" s="23">
        <f>EDProj[[#This Row],[★ Ballot Cards]]/250</f>
        <v>18</v>
      </c>
      <c r="U328" s="38">
        <f>EDProj[[#This Row],[★ Soft Case (ADA) Voting Machines]]+EDProj[[#This Row],[Old EPB Allocation]]</f>
        <v>7.333333333333333</v>
      </c>
      <c r="V328" s="38">
        <f>EDProj[[#This Row],[Tables Needed]]</f>
        <v>7.333333333333333</v>
      </c>
      <c r="W328" s="27">
        <v>0</v>
      </c>
      <c r="X328" s="27">
        <v>0</v>
      </c>
      <c r="Y328" s="23">
        <f>ROUNDUP(IF(EDProj[[#This Row],[Tables Needed]]-EDProj[[#This Row],[Tables Provided by the Vote Center]]&lt;0,0,EDProj[[#This Row],[Tables Needed]]-EDProj[[#This Row],[Tables Provided by the Vote Center]]),0)</f>
        <v>8</v>
      </c>
      <c r="Z328" s="23">
        <f>ROUNDUP(IF(EDProj[[#This Row],[Chairs Needed]]-EDProj[[#This Row],[Chairs Provided by the Vote Center]]&lt;0,0,EDProj[[#This Row],[Chairs Needed]]-EDProj[[#This Row],[Chairs Provided by the Vote Center]]),0)</f>
        <v>8</v>
      </c>
    </row>
    <row r="329" spans="1:26" ht="13.9">
      <c r="A329" s="23" t="s">
        <v>294</v>
      </c>
      <c r="B329" s="24" t="s">
        <v>295</v>
      </c>
      <c r="C329" s="73" t="s">
        <v>819</v>
      </c>
      <c r="D329" s="25" t="s">
        <v>882</v>
      </c>
      <c r="E329" s="26" t="s">
        <v>883</v>
      </c>
      <c r="F329" s="92">
        <v>193</v>
      </c>
      <c r="G329" s="27">
        <v>4</v>
      </c>
      <c r="H329" s="27">
        <v>4</v>
      </c>
      <c r="I329" s="27">
        <v>4</v>
      </c>
      <c r="J329" s="27">
        <v>1</v>
      </c>
      <c r="K329" s="27">
        <v>0</v>
      </c>
      <c r="L329" s="27">
        <v>0</v>
      </c>
      <c r="M329" s="23">
        <f>SUM(EDProj[[#This Row],[★ Hard Case Voting Machines]:[★ Curbside (Rollie) Voting Machine]])</f>
        <v>5</v>
      </c>
      <c r="N329" s="23">
        <v>1</v>
      </c>
      <c r="O329" s="27">
        <v>5</v>
      </c>
      <c r="P329" s="27">
        <v>1</v>
      </c>
      <c r="Q329" s="23">
        <v>1</v>
      </c>
      <c r="R329" s="27">
        <f>EDProj[[#This Row],[★ Judge]]+EDProj[[#This Row],[★ Alt Judge]]+EDProj[[#This Row],[★ Clerks]]</f>
        <v>7</v>
      </c>
      <c r="S329" s="28">
        <v>500</v>
      </c>
      <c r="T329" s="23">
        <f>EDProj[[#This Row],[★ Ballot Cards]]/250</f>
        <v>2</v>
      </c>
      <c r="U329" s="38">
        <f>EDProj[[#This Row],[★ Soft Case (ADA) Voting Machines]]+EDProj[[#This Row],[Old EPB Allocation]]</f>
        <v>5</v>
      </c>
      <c r="V329" s="38">
        <f>EDProj[[#This Row],[Tables Needed]]</f>
        <v>5</v>
      </c>
      <c r="W329" s="27">
        <v>0</v>
      </c>
      <c r="X329" s="27">
        <v>0</v>
      </c>
      <c r="Y329" s="23">
        <f>ROUNDUP(IF(EDProj[[#This Row],[Tables Needed]]-EDProj[[#This Row],[Tables Provided by the Vote Center]]&lt;0,0,EDProj[[#This Row],[Tables Needed]]-EDProj[[#This Row],[Tables Provided by the Vote Center]]),0)</f>
        <v>5</v>
      </c>
      <c r="Z329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330" spans="1:26" ht="13.9">
      <c r="A330" s="23" t="s">
        <v>294</v>
      </c>
      <c r="B330" s="24" t="s">
        <v>295</v>
      </c>
      <c r="C330" s="73" t="s">
        <v>819</v>
      </c>
      <c r="D330" s="30" t="s">
        <v>884</v>
      </c>
      <c r="E330" s="31" t="s">
        <v>885</v>
      </c>
      <c r="F330" s="93">
        <v>796</v>
      </c>
      <c r="G330" s="27">
        <v>4</v>
      </c>
      <c r="H330" s="27">
        <v>4</v>
      </c>
      <c r="I330" s="27">
        <v>11</v>
      </c>
      <c r="J330" s="27">
        <v>1</v>
      </c>
      <c r="K330" s="27">
        <v>0</v>
      </c>
      <c r="L330" s="27">
        <v>0</v>
      </c>
      <c r="M330" s="23">
        <f>SUM(EDProj[[#This Row],[★ Hard Case Voting Machines]:[★ Curbside (Rollie) Voting Machine]])</f>
        <v>12</v>
      </c>
      <c r="N330" s="23">
        <v>1</v>
      </c>
      <c r="O330" s="27">
        <v>7</v>
      </c>
      <c r="P330" s="27">
        <v>1</v>
      </c>
      <c r="Q330" s="23">
        <v>1</v>
      </c>
      <c r="R330" s="27">
        <f>EDProj[[#This Row],[★ Judge]]+EDProj[[#This Row],[★ Alt Judge]]+EDProj[[#This Row],[★ Clerks]]</f>
        <v>9</v>
      </c>
      <c r="S330" s="28">
        <v>1500</v>
      </c>
      <c r="T330" s="23">
        <f>EDProj[[#This Row],[★ Ballot Cards]]/250</f>
        <v>6</v>
      </c>
      <c r="U330" s="38">
        <f>EDProj[[#This Row],[★ Soft Case (ADA) Voting Machines]]+EDProj[[#This Row],[Old EPB Allocation]]</f>
        <v>5</v>
      </c>
      <c r="V330" s="38">
        <f>EDProj[[#This Row],[Tables Needed]]</f>
        <v>5</v>
      </c>
      <c r="W330" s="27">
        <v>0</v>
      </c>
      <c r="X330" s="27">
        <v>10</v>
      </c>
      <c r="Y330" s="23">
        <f>ROUNDUP(IF(EDProj[[#This Row],[Tables Needed]]-EDProj[[#This Row],[Tables Provided by the Vote Center]]&lt;0,0,EDProj[[#This Row],[Tables Needed]]-EDProj[[#This Row],[Tables Provided by the Vote Center]]),0)</f>
        <v>5</v>
      </c>
      <c r="Z330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331" spans="1:26" ht="13.9">
      <c r="A331" s="23" t="s">
        <v>294</v>
      </c>
      <c r="B331" s="24" t="s">
        <v>295</v>
      </c>
      <c r="C331" s="73" t="s">
        <v>819</v>
      </c>
      <c r="D331" s="25" t="s">
        <v>886</v>
      </c>
      <c r="E331" s="26" t="s">
        <v>887</v>
      </c>
      <c r="F331" s="92">
        <v>284</v>
      </c>
      <c r="G331" s="27">
        <v>4</v>
      </c>
      <c r="H331" s="27">
        <v>4</v>
      </c>
      <c r="I331" s="27">
        <v>5</v>
      </c>
      <c r="J331" s="27">
        <v>1</v>
      </c>
      <c r="K331" s="27">
        <v>0</v>
      </c>
      <c r="L331" s="27">
        <v>0</v>
      </c>
      <c r="M331" s="23">
        <f>SUM(EDProj[[#This Row],[★ Hard Case Voting Machines]:[★ Curbside (Rollie) Voting Machine]])</f>
        <v>6</v>
      </c>
      <c r="N331" s="23">
        <v>1</v>
      </c>
      <c r="O331" s="27">
        <v>5</v>
      </c>
      <c r="P331" s="27">
        <v>1</v>
      </c>
      <c r="Q331" s="23">
        <v>1</v>
      </c>
      <c r="R331" s="27">
        <f>EDProj[[#This Row],[★ Judge]]+EDProj[[#This Row],[★ Alt Judge]]+EDProj[[#This Row],[★ Clerks]]</f>
        <v>7</v>
      </c>
      <c r="S331" s="28">
        <v>500</v>
      </c>
      <c r="T331" s="23">
        <f>EDProj[[#This Row],[★ Ballot Cards]]/250</f>
        <v>2</v>
      </c>
      <c r="U331" s="38">
        <f>EDProj[[#This Row],[★ Soft Case (ADA) Voting Machines]]+EDProj[[#This Row],[Old EPB Allocation]]</f>
        <v>5</v>
      </c>
      <c r="V331" s="38">
        <f>EDProj[[#This Row],[Tables Needed]]</f>
        <v>5</v>
      </c>
      <c r="W331" s="27">
        <v>0</v>
      </c>
      <c r="X331" s="27">
        <v>0</v>
      </c>
      <c r="Y331" s="23">
        <f>ROUNDUP(IF(EDProj[[#This Row],[Tables Needed]]-EDProj[[#This Row],[Tables Provided by the Vote Center]]&lt;0,0,EDProj[[#This Row],[Tables Needed]]-EDProj[[#This Row],[Tables Provided by the Vote Center]]),0)</f>
        <v>5</v>
      </c>
      <c r="Z331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332" spans="1:26" ht="13.9">
      <c r="A332" s="23" t="s">
        <v>294</v>
      </c>
      <c r="B332" s="24" t="s">
        <v>295</v>
      </c>
      <c r="C332" s="73" t="s">
        <v>819</v>
      </c>
      <c r="D332" s="25" t="s">
        <v>888</v>
      </c>
      <c r="E332" s="26" t="s">
        <v>889</v>
      </c>
      <c r="F332" s="92">
        <v>312</v>
      </c>
      <c r="G332" s="27">
        <v>4</v>
      </c>
      <c r="H332" s="27">
        <v>4</v>
      </c>
      <c r="I332" s="27">
        <v>6</v>
      </c>
      <c r="J332" s="27">
        <v>1</v>
      </c>
      <c r="K332" s="27">
        <v>0</v>
      </c>
      <c r="L332" s="27">
        <v>0</v>
      </c>
      <c r="M332" s="23">
        <f>SUM(EDProj[[#This Row],[★ Hard Case Voting Machines]:[★ Curbside (Rollie) Voting Machine]])</f>
        <v>7</v>
      </c>
      <c r="N332" s="23">
        <v>1</v>
      </c>
      <c r="O332" s="27">
        <v>5</v>
      </c>
      <c r="P332" s="27">
        <v>1</v>
      </c>
      <c r="Q332" s="23">
        <v>1</v>
      </c>
      <c r="R332" s="27">
        <f>EDProj[[#This Row],[★ Judge]]+EDProj[[#This Row],[★ Alt Judge]]+EDProj[[#This Row],[★ Clerks]]</f>
        <v>7</v>
      </c>
      <c r="S332" s="28">
        <v>500</v>
      </c>
      <c r="T332" s="23">
        <f>EDProj[[#This Row],[★ Ballot Cards]]/250</f>
        <v>2</v>
      </c>
      <c r="U332" s="38">
        <f>EDProj[[#This Row],[★ Soft Case (ADA) Voting Machines]]+EDProj[[#This Row],[Old EPB Allocation]]</f>
        <v>5</v>
      </c>
      <c r="V332" s="38">
        <f>EDProj[[#This Row],[Tables Needed]]</f>
        <v>5</v>
      </c>
      <c r="W332" s="27">
        <v>0</v>
      </c>
      <c r="X332" s="27">
        <v>0</v>
      </c>
      <c r="Y332" s="23">
        <f>ROUNDUP(IF(EDProj[[#This Row],[Tables Needed]]-EDProj[[#This Row],[Tables Provided by the Vote Center]]&lt;0,0,EDProj[[#This Row],[Tables Needed]]-EDProj[[#This Row],[Tables Provided by the Vote Center]]),0)</f>
        <v>5</v>
      </c>
      <c r="Z332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333" spans="1:26" ht="13.9">
      <c r="A333" s="23" t="s">
        <v>294</v>
      </c>
      <c r="B333" s="24" t="s">
        <v>295</v>
      </c>
      <c r="C333" s="73" t="s">
        <v>819</v>
      </c>
      <c r="D333" s="25" t="s">
        <v>890</v>
      </c>
      <c r="E333" s="26" t="s">
        <v>891</v>
      </c>
      <c r="F333" s="92">
        <v>286</v>
      </c>
      <c r="G333" s="27">
        <v>4</v>
      </c>
      <c r="H333" s="27">
        <v>4</v>
      </c>
      <c r="I333" s="27">
        <v>4</v>
      </c>
      <c r="J333" s="27">
        <v>1</v>
      </c>
      <c r="K333" s="27">
        <v>0</v>
      </c>
      <c r="L333" s="27">
        <v>0</v>
      </c>
      <c r="M333" s="23">
        <f>SUM(EDProj[[#This Row],[★ Hard Case Voting Machines]:[★ Curbside (Rollie) Voting Machine]])</f>
        <v>5</v>
      </c>
      <c r="N333" s="23">
        <v>1</v>
      </c>
      <c r="O333" s="27">
        <v>5</v>
      </c>
      <c r="P333" s="27">
        <v>1</v>
      </c>
      <c r="Q333" s="23">
        <v>1</v>
      </c>
      <c r="R333" s="27">
        <f>EDProj[[#This Row],[★ Judge]]+EDProj[[#This Row],[★ Alt Judge]]+EDProj[[#This Row],[★ Clerks]]</f>
        <v>7</v>
      </c>
      <c r="S333" s="28">
        <v>500</v>
      </c>
      <c r="T333" s="23">
        <f>EDProj[[#This Row],[★ Ballot Cards]]/250</f>
        <v>2</v>
      </c>
      <c r="U333" s="38">
        <f>EDProj[[#This Row],[★ Soft Case (ADA) Voting Machines]]+EDProj[[#This Row],[Old EPB Allocation]]</f>
        <v>5</v>
      </c>
      <c r="V333" s="38">
        <f>EDProj[[#This Row],[Tables Needed]]</f>
        <v>5</v>
      </c>
      <c r="W333" s="27">
        <v>20</v>
      </c>
      <c r="X333" s="27">
        <v>20</v>
      </c>
      <c r="Y333" s="23">
        <f>ROUNDUP(IF(EDProj[[#This Row],[Tables Needed]]-EDProj[[#This Row],[Tables Provided by the Vote Center]]&lt;0,0,EDProj[[#This Row],[Tables Needed]]-EDProj[[#This Row],[Tables Provided by the Vote Center]]),0)</f>
        <v>0</v>
      </c>
      <c r="Z333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334" spans="1:26" ht="13.9">
      <c r="A334" s="23" t="s">
        <v>294</v>
      </c>
      <c r="B334" s="24" t="s">
        <v>295</v>
      </c>
      <c r="C334" s="73" t="s">
        <v>819</v>
      </c>
      <c r="D334" s="25" t="s">
        <v>892</v>
      </c>
      <c r="E334" s="26" t="s">
        <v>893</v>
      </c>
      <c r="F334" s="92">
        <v>194</v>
      </c>
      <c r="G334" s="27">
        <v>4</v>
      </c>
      <c r="H334" s="27">
        <v>4</v>
      </c>
      <c r="I334" s="27">
        <v>3</v>
      </c>
      <c r="J334" s="27">
        <v>1</v>
      </c>
      <c r="K334" s="27">
        <v>0</v>
      </c>
      <c r="L334" s="27">
        <v>0</v>
      </c>
      <c r="M334" s="23">
        <f>SUM(EDProj[[#This Row],[★ Hard Case Voting Machines]:[★ Curbside (Rollie) Voting Machine]])</f>
        <v>4</v>
      </c>
      <c r="N334" s="23">
        <v>1</v>
      </c>
      <c r="O334" s="27">
        <v>4</v>
      </c>
      <c r="P334" s="27">
        <v>1</v>
      </c>
      <c r="Q334" s="23">
        <v>1</v>
      </c>
      <c r="R334" s="27">
        <f>EDProj[[#This Row],[★ Judge]]+EDProj[[#This Row],[★ Alt Judge]]+EDProj[[#This Row],[★ Clerks]]</f>
        <v>6</v>
      </c>
      <c r="S334" s="28">
        <v>500</v>
      </c>
      <c r="T334" s="23">
        <f>EDProj[[#This Row],[★ Ballot Cards]]/250</f>
        <v>2</v>
      </c>
      <c r="U334" s="38">
        <f>EDProj[[#This Row],[★ Soft Case (ADA) Voting Machines]]+EDProj[[#This Row],[Old EPB Allocation]]</f>
        <v>5</v>
      </c>
      <c r="V334" s="38">
        <f>EDProj[[#This Row],[Tables Needed]]</f>
        <v>5</v>
      </c>
      <c r="W334" s="27">
        <v>20</v>
      </c>
      <c r="X334" s="27">
        <v>20</v>
      </c>
      <c r="Y334" s="23">
        <f>ROUNDUP(IF(EDProj[[#This Row],[Tables Needed]]-EDProj[[#This Row],[Tables Provided by the Vote Center]]&lt;0,0,EDProj[[#This Row],[Tables Needed]]-EDProj[[#This Row],[Tables Provided by the Vote Center]]),0)</f>
        <v>0</v>
      </c>
      <c r="Z334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335" spans="1:26" ht="13.9">
      <c r="A335" s="23" t="s">
        <v>294</v>
      </c>
      <c r="B335" s="24" t="s">
        <v>295</v>
      </c>
      <c r="C335" s="73" t="s">
        <v>819</v>
      </c>
      <c r="D335" s="25" t="s">
        <v>894</v>
      </c>
      <c r="E335" s="26" t="s">
        <v>895</v>
      </c>
      <c r="F335" s="92">
        <v>327</v>
      </c>
      <c r="G335" s="27">
        <v>4</v>
      </c>
      <c r="H335" s="27">
        <v>4</v>
      </c>
      <c r="I335" s="27">
        <v>6</v>
      </c>
      <c r="J335" s="27">
        <v>1</v>
      </c>
      <c r="K335" s="27">
        <v>0</v>
      </c>
      <c r="L335" s="27">
        <v>0</v>
      </c>
      <c r="M335" s="23">
        <f>SUM(EDProj[[#This Row],[★ Hard Case Voting Machines]:[★ Curbside (Rollie) Voting Machine]])</f>
        <v>7</v>
      </c>
      <c r="N335" s="23">
        <v>1</v>
      </c>
      <c r="O335" s="27">
        <v>5</v>
      </c>
      <c r="P335" s="27">
        <v>1</v>
      </c>
      <c r="Q335" s="23">
        <v>1</v>
      </c>
      <c r="R335" s="27">
        <f>EDProj[[#This Row],[★ Judge]]+EDProj[[#This Row],[★ Alt Judge]]+EDProj[[#This Row],[★ Clerks]]</f>
        <v>7</v>
      </c>
      <c r="S335" s="28">
        <v>750</v>
      </c>
      <c r="T335" s="23">
        <f>EDProj[[#This Row],[★ Ballot Cards]]/250</f>
        <v>3</v>
      </c>
      <c r="U335" s="38">
        <f>EDProj[[#This Row],[★ Soft Case (ADA) Voting Machines]]+EDProj[[#This Row],[Old EPB Allocation]]</f>
        <v>5</v>
      </c>
      <c r="V335" s="38">
        <f>EDProj[[#This Row],[Tables Needed]]</f>
        <v>5</v>
      </c>
      <c r="W335" s="27">
        <v>20</v>
      </c>
      <c r="X335" s="27">
        <v>20</v>
      </c>
      <c r="Y335" s="23">
        <f>ROUNDUP(IF(EDProj[[#This Row],[Tables Needed]]-EDProj[[#This Row],[Tables Provided by the Vote Center]]&lt;0,0,EDProj[[#This Row],[Tables Needed]]-EDProj[[#This Row],[Tables Provided by the Vote Center]]),0)</f>
        <v>0</v>
      </c>
      <c r="Z335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336" spans="1:26" ht="13.9">
      <c r="A336" s="23" t="s">
        <v>294</v>
      </c>
      <c r="B336" s="24" t="s">
        <v>295</v>
      </c>
      <c r="C336" s="73" t="s">
        <v>819</v>
      </c>
      <c r="D336" s="25" t="s">
        <v>896</v>
      </c>
      <c r="E336" s="26" t="s">
        <v>897</v>
      </c>
      <c r="F336" s="92">
        <v>225</v>
      </c>
      <c r="G336" s="27">
        <v>4</v>
      </c>
      <c r="H336" s="27">
        <v>4</v>
      </c>
      <c r="I336" s="27">
        <v>4</v>
      </c>
      <c r="J336" s="27">
        <v>1</v>
      </c>
      <c r="K336" s="27">
        <v>0</v>
      </c>
      <c r="L336" s="27">
        <v>0</v>
      </c>
      <c r="M336" s="23">
        <f>SUM(EDProj[[#This Row],[★ Hard Case Voting Machines]:[★ Curbside (Rollie) Voting Machine]])</f>
        <v>5</v>
      </c>
      <c r="N336" s="23">
        <v>1</v>
      </c>
      <c r="O336" s="27">
        <v>5</v>
      </c>
      <c r="P336" s="27">
        <v>1</v>
      </c>
      <c r="Q336" s="23">
        <v>1</v>
      </c>
      <c r="R336" s="27">
        <f>EDProj[[#This Row],[★ Judge]]+EDProj[[#This Row],[★ Alt Judge]]+EDProj[[#This Row],[★ Clerks]]</f>
        <v>7</v>
      </c>
      <c r="S336" s="28">
        <v>500</v>
      </c>
      <c r="T336" s="23">
        <f>EDProj[[#This Row],[★ Ballot Cards]]/250</f>
        <v>2</v>
      </c>
      <c r="U336" s="38">
        <f>EDProj[[#This Row],[★ Soft Case (ADA) Voting Machines]]+EDProj[[#This Row],[Old EPB Allocation]]</f>
        <v>5</v>
      </c>
      <c r="V336" s="38">
        <f>EDProj[[#This Row],[Tables Needed]]</f>
        <v>5</v>
      </c>
      <c r="W336" s="27">
        <v>20</v>
      </c>
      <c r="X336" s="27">
        <v>20</v>
      </c>
      <c r="Y336" s="23">
        <f>ROUNDUP(IF(EDProj[[#This Row],[Tables Needed]]-EDProj[[#This Row],[Tables Provided by the Vote Center]]&lt;0,0,EDProj[[#This Row],[Tables Needed]]-EDProj[[#This Row],[Tables Provided by the Vote Center]]),0)</f>
        <v>0</v>
      </c>
      <c r="Z336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337" spans="1:26" ht="13.9">
      <c r="A337" s="23" t="s">
        <v>294</v>
      </c>
      <c r="B337" s="24" t="s">
        <v>295</v>
      </c>
      <c r="C337" s="73" t="s">
        <v>819</v>
      </c>
      <c r="D337" s="25" t="s">
        <v>898</v>
      </c>
      <c r="E337" s="26" t="s">
        <v>899</v>
      </c>
      <c r="F337" s="92">
        <v>203</v>
      </c>
      <c r="G337" s="27">
        <v>4</v>
      </c>
      <c r="H337" s="27">
        <v>4</v>
      </c>
      <c r="I337" s="27">
        <v>4</v>
      </c>
      <c r="J337" s="27">
        <v>1</v>
      </c>
      <c r="K337" s="27">
        <v>0</v>
      </c>
      <c r="L337" s="27">
        <v>0</v>
      </c>
      <c r="M337" s="23">
        <f>SUM(EDProj[[#This Row],[★ Hard Case Voting Machines]:[★ Curbside (Rollie) Voting Machine]])</f>
        <v>5</v>
      </c>
      <c r="N337" s="23">
        <v>1</v>
      </c>
      <c r="O337" s="27">
        <v>5</v>
      </c>
      <c r="P337" s="27">
        <v>1</v>
      </c>
      <c r="Q337" s="23">
        <v>1</v>
      </c>
      <c r="R337" s="27">
        <f>EDProj[[#This Row],[★ Judge]]+EDProj[[#This Row],[★ Alt Judge]]+EDProj[[#This Row],[★ Clerks]]</f>
        <v>7</v>
      </c>
      <c r="S337" s="28">
        <v>500</v>
      </c>
      <c r="T337" s="23">
        <f>EDProj[[#This Row],[★ Ballot Cards]]/250</f>
        <v>2</v>
      </c>
      <c r="U337" s="38">
        <f>EDProj[[#This Row],[★ Soft Case (ADA) Voting Machines]]+EDProj[[#This Row],[Old EPB Allocation]]</f>
        <v>5</v>
      </c>
      <c r="V337" s="38">
        <f>EDProj[[#This Row],[Tables Needed]]</f>
        <v>5</v>
      </c>
      <c r="W337" s="27">
        <v>20</v>
      </c>
      <c r="X337" s="27">
        <v>20</v>
      </c>
      <c r="Y337" s="23">
        <f>ROUNDUP(IF(EDProj[[#This Row],[Tables Needed]]-EDProj[[#This Row],[Tables Provided by the Vote Center]]&lt;0,0,EDProj[[#This Row],[Tables Needed]]-EDProj[[#This Row],[Tables Provided by the Vote Center]]),0)</f>
        <v>0</v>
      </c>
      <c r="Z337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338" spans="1:26" ht="13.9">
      <c r="A338" s="23" t="s">
        <v>294</v>
      </c>
      <c r="B338" s="24" t="s">
        <v>295</v>
      </c>
      <c r="C338" s="73" t="s">
        <v>819</v>
      </c>
      <c r="D338" s="25" t="s">
        <v>900</v>
      </c>
      <c r="E338" s="26" t="s">
        <v>901</v>
      </c>
      <c r="F338" s="92">
        <v>237</v>
      </c>
      <c r="G338" s="27">
        <v>4</v>
      </c>
      <c r="H338" s="27">
        <v>4</v>
      </c>
      <c r="I338" s="27">
        <v>4</v>
      </c>
      <c r="J338" s="27">
        <v>1</v>
      </c>
      <c r="K338" s="27">
        <v>0</v>
      </c>
      <c r="L338" s="27">
        <v>0</v>
      </c>
      <c r="M338" s="23">
        <f>SUM(EDProj[[#This Row],[★ Hard Case Voting Machines]:[★ Curbside (Rollie) Voting Machine]])</f>
        <v>5</v>
      </c>
      <c r="N338" s="23">
        <v>1</v>
      </c>
      <c r="O338" s="27">
        <v>5</v>
      </c>
      <c r="P338" s="27">
        <v>1</v>
      </c>
      <c r="Q338" s="23">
        <v>1</v>
      </c>
      <c r="R338" s="27">
        <f>EDProj[[#This Row],[★ Judge]]+EDProj[[#This Row],[★ Alt Judge]]+EDProj[[#This Row],[★ Clerks]]</f>
        <v>7</v>
      </c>
      <c r="S338" s="28">
        <v>500</v>
      </c>
      <c r="T338" s="23">
        <f>EDProj[[#This Row],[★ Ballot Cards]]/250</f>
        <v>2</v>
      </c>
      <c r="U338" s="38">
        <f>EDProj[[#This Row],[★ Soft Case (ADA) Voting Machines]]+EDProj[[#This Row],[Old EPB Allocation]]</f>
        <v>5</v>
      </c>
      <c r="V338" s="38">
        <f>EDProj[[#This Row],[Tables Needed]]</f>
        <v>5</v>
      </c>
      <c r="W338" s="27">
        <v>0</v>
      </c>
      <c r="X338" s="27">
        <v>0</v>
      </c>
      <c r="Y338" s="23">
        <f>ROUNDUP(IF(EDProj[[#This Row],[Tables Needed]]-EDProj[[#This Row],[Tables Provided by the Vote Center]]&lt;0,0,EDProj[[#This Row],[Tables Needed]]-EDProj[[#This Row],[Tables Provided by the Vote Center]]),0)</f>
        <v>5</v>
      </c>
      <c r="Z338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339" spans="1:26" ht="13.9">
      <c r="A339" s="23" t="s">
        <v>113</v>
      </c>
      <c r="B339" s="24" t="s">
        <v>244</v>
      </c>
      <c r="C339" s="73" t="s">
        <v>819</v>
      </c>
      <c r="D339" s="25" t="s">
        <v>243</v>
      </c>
      <c r="E339" s="26" t="s">
        <v>245</v>
      </c>
      <c r="F339" s="92">
        <v>981</v>
      </c>
      <c r="G339" s="27">
        <v>4.5</v>
      </c>
      <c r="H339" s="27">
        <v>5</v>
      </c>
      <c r="I339" s="27">
        <v>11</v>
      </c>
      <c r="J339" s="27">
        <v>1</v>
      </c>
      <c r="K339" s="27">
        <v>1</v>
      </c>
      <c r="L339" s="27">
        <v>1</v>
      </c>
      <c r="M339" s="23">
        <f>SUM(EDProj[[#This Row],[★ Hard Case Voting Machines]:[★ Curbside (Rollie) Voting Machine]])</f>
        <v>14</v>
      </c>
      <c r="N339" s="23">
        <v>1</v>
      </c>
      <c r="O339" s="27">
        <v>7</v>
      </c>
      <c r="P339" s="27">
        <v>1</v>
      </c>
      <c r="Q339" s="23">
        <v>1</v>
      </c>
      <c r="R339" s="27">
        <f>EDProj[[#This Row],[★ Judge]]+EDProj[[#This Row],[★ Alt Judge]]+EDProj[[#This Row],[★ Clerks]]</f>
        <v>9</v>
      </c>
      <c r="S339" s="28">
        <v>1500</v>
      </c>
      <c r="T339" s="23">
        <f>EDProj[[#This Row],[★ Ballot Cards]]/250</f>
        <v>6</v>
      </c>
      <c r="U339" s="38">
        <f>EDProj[[#This Row],[★ Soft Case (ADA) Voting Machines]]+EDProj[[#This Row],[Old EPB Allocation]]</f>
        <v>5.5</v>
      </c>
      <c r="V339" s="38">
        <f>EDProj[[#This Row],[Tables Needed]]</f>
        <v>5.5</v>
      </c>
      <c r="W339" s="27">
        <v>0</v>
      </c>
      <c r="X339" s="27">
        <v>0</v>
      </c>
      <c r="Y339" s="23">
        <f>ROUNDUP(IF(EDProj[[#This Row],[Tables Needed]]-EDProj[[#This Row],[Tables Provided by the Vote Center]]&lt;0,0,EDProj[[#This Row],[Tables Needed]]-EDProj[[#This Row],[Tables Provided by the Vote Center]]),0)</f>
        <v>6</v>
      </c>
      <c r="Z339" s="23">
        <f>ROUNDUP(IF(EDProj[[#This Row],[Chairs Needed]]-EDProj[[#This Row],[Chairs Provided by the Vote Center]]&lt;0,0,EDProj[[#This Row],[Chairs Needed]]-EDProj[[#This Row],[Chairs Provided by the Vote Center]]),0)</f>
        <v>6</v>
      </c>
    </row>
    <row r="340" spans="1:26" ht="13.9">
      <c r="A340" s="23" t="s">
        <v>294</v>
      </c>
      <c r="B340" s="24" t="s">
        <v>295</v>
      </c>
      <c r="C340" s="73" t="s">
        <v>819</v>
      </c>
      <c r="D340" s="25" t="s">
        <v>902</v>
      </c>
      <c r="E340" s="26" t="s">
        <v>903</v>
      </c>
      <c r="F340" s="92">
        <v>290</v>
      </c>
      <c r="G340" s="27">
        <v>4</v>
      </c>
      <c r="H340" s="27">
        <v>4</v>
      </c>
      <c r="I340" s="27">
        <v>4</v>
      </c>
      <c r="J340" s="27">
        <v>1</v>
      </c>
      <c r="K340" s="27">
        <v>0</v>
      </c>
      <c r="L340" s="27">
        <v>0</v>
      </c>
      <c r="M340" s="23">
        <f>SUM(EDProj[[#This Row],[★ Hard Case Voting Machines]:[★ Curbside (Rollie) Voting Machine]])</f>
        <v>5</v>
      </c>
      <c r="N340" s="23">
        <v>1</v>
      </c>
      <c r="O340" s="27">
        <v>5</v>
      </c>
      <c r="P340" s="27">
        <v>1</v>
      </c>
      <c r="Q340" s="23">
        <v>1</v>
      </c>
      <c r="R340" s="27">
        <f>EDProj[[#This Row],[★ Judge]]+EDProj[[#This Row],[★ Alt Judge]]+EDProj[[#This Row],[★ Clerks]]</f>
        <v>7</v>
      </c>
      <c r="S340" s="28">
        <v>500</v>
      </c>
      <c r="T340" s="23">
        <f>EDProj[[#This Row],[★ Ballot Cards]]/250</f>
        <v>2</v>
      </c>
      <c r="U340" s="38">
        <f>EDProj[[#This Row],[★ Soft Case (ADA) Voting Machines]]+EDProj[[#This Row],[Old EPB Allocation]]</f>
        <v>5</v>
      </c>
      <c r="V340" s="38">
        <f>EDProj[[#This Row],[Tables Needed]]</f>
        <v>5</v>
      </c>
      <c r="W340" s="27">
        <v>4</v>
      </c>
      <c r="X340" s="27">
        <v>8</v>
      </c>
      <c r="Y340" s="23">
        <f>ROUNDUP(IF(EDProj[[#This Row],[Tables Needed]]-EDProj[[#This Row],[Tables Provided by the Vote Center]]&lt;0,0,EDProj[[#This Row],[Tables Needed]]-EDProj[[#This Row],[Tables Provided by the Vote Center]]),0)</f>
        <v>1</v>
      </c>
      <c r="Z340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341" spans="1:26" ht="13.9">
      <c r="A341" s="23" t="s">
        <v>113</v>
      </c>
      <c r="B341" s="24" t="s">
        <v>166</v>
      </c>
      <c r="C341" s="73" t="s">
        <v>904</v>
      </c>
      <c r="D341" s="30" t="s">
        <v>165</v>
      </c>
      <c r="E341" s="31" t="s">
        <v>167</v>
      </c>
      <c r="F341" s="93">
        <v>345</v>
      </c>
      <c r="G341" s="27">
        <v>4</v>
      </c>
      <c r="H341" s="27">
        <v>4</v>
      </c>
      <c r="I341" s="27">
        <v>10</v>
      </c>
      <c r="J341" s="27">
        <v>1</v>
      </c>
      <c r="K341" s="27">
        <v>1</v>
      </c>
      <c r="L341" s="27">
        <v>1</v>
      </c>
      <c r="M341" s="23">
        <f>SUM(EDProj[[#This Row],[★ Hard Case Voting Machines]:[★ Curbside (Rollie) Voting Machine]])</f>
        <v>13</v>
      </c>
      <c r="N341" s="23">
        <v>1</v>
      </c>
      <c r="O341" s="27">
        <v>5</v>
      </c>
      <c r="P341" s="27">
        <v>1</v>
      </c>
      <c r="Q341" s="23">
        <v>1</v>
      </c>
      <c r="R341" s="27">
        <f>EDProj[[#This Row],[★ Judge]]+EDProj[[#This Row],[★ Alt Judge]]+EDProj[[#This Row],[★ Clerks]]</f>
        <v>7</v>
      </c>
      <c r="S341" s="28">
        <v>500</v>
      </c>
      <c r="T341" s="23">
        <f>EDProj[[#This Row],[★ Ballot Cards]]/250</f>
        <v>2</v>
      </c>
      <c r="U341" s="38">
        <f>EDProj[[#This Row],[★ Soft Case (ADA) Voting Machines]]+EDProj[[#This Row],[Old EPB Allocation]]</f>
        <v>5</v>
      </c>
      <c r="V341" s="38">
        <f>EDProj[[#This Row],[Tables Needed]]</f>
        <v>5</v>
      </c>
      <c r="W341" s="27">
        <v>15</v>
      </c>
      <c r="X341" s="27">
        <v>30</v>
      </c>
      <c r="Y341" s="23">
        <f>ROUNDUP(IF(EDProj[[#This Row],[Tables Needed]]-EDProj[[#This Row],[Tables Provided by the Vote Center]]&lt;0,0,EDProj[[#This Row],[Tables Needed]]-EDProj[[#This Row],[Tables Provided by the Vote Center]]),0)</f>
        <v>0</v>
      </c>
      <c r="Z341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342" spans="1:26" ht="13.9">
      <c r="A342" s="23" t="s">
        <v>113</v>
      </c>
      <c r="B342" s="24" t="s">
        <v>259</v>
      </c>
      <c r="C342" s="73" t="s">
        <v>904</v>
      </c>
      <c r="D342" s="25" t="s">
        <v>258</v>
      </c>
      <c r="E342" s="26" t="s">
        <v>260</v>
      </c>
      <c r="F342" s="92">
        <v>3788</v>
      </c>
      <c r="G342" s="27">
        <v>4.1666666666666661</v>
      </c>
      <c r="H342" s="27">
        <v>5</v>
      </c>
      <c r="I342" s="27">
        <v>10</v>
      </c>
      <c r="J342" s="27">
        <v>1</v>
      </c>
      <c r="K342" s="27">
        <v>1</v>
      </c>
      <c r="L342" s="27">
        <v>1</v>
      </c>
      <c r="M342" s="23">
        <f>SUM(EDProj[[#This Row],[★ Hard Case Voting Machines]:[★ Curbside (Rollie) Voting Machine]])</f>
        <v>13</v>
      </c>
      <c r="N342" s="23">
        <v>1</v>
      </c>
      <c r="O342" s="27">
        <v>7</v>
      </c>
      <c r="P342" s="23">
        <v>1</v>
      </c>
      <c r="Q342" s="23">
        <v>1</v>
      </c>
      <c r="R342" s="27">
        <f>EDProj[[#This Row],[★ Judge]]+EDProj[[#This Row],[★ Alt Judge]]+EDProj[[#This Row],[★ Clerks]]</f>
        <v>9</v>
      </c>
      <c r="S342" s="28">
        <v>1250</v>
      </c>
      <c r="T342" s="23">
        <f>EDProj[[#This Row],[★ Ballot Cards]]/250</f>
        <v>5</v>
      </c>
      <c r="U342" s="38">
        <f>EDProj[[#This Row],[★ Soft Case (ADA) Voting Machines]]+EDProj[[#This Row],[Old EPB Allocation]]</f>
        <v>5.1666666666666661</v>
      </c>
      <c r="V342" s="38">
        <f>EDProj[[#This Row],[Tables Needed]]</f>
        <v>5.1666666666666661</v>
      </c>
      <c r="W342" s="27">
        <v>0</v>
      </c>
      <c r="X342" s="27">
        <v>0</v>
      </c>
      <c r="Y342" s="23">
        <f>ROUNDUP(IF(EDProj[[#This Row],[Tables Needed]]-EDProj[[#This Row],[Tables Provided by the Vote Center]]&lt;0,0,EDProj[[#This Row],[Tables Needed]]-EDProj[[#This Row],[Tables Provided by the Vote Center]]),0)</f>
        <v>6</v>
      </c>
      <c r="Z342" s="23">
        <f>ROUNDUP(IF(EDProj[[#This Row],[Chairs Needed]]-EDProj[[#This Row],[Chairs Provided by the Vote Center]]&lt;0,0,EDProj[[#This Row],[Chairs Needed]]-EDProj[[#This Row],[Chairs Provided by the Vote Center]]),0)</f>
        <v>6</v>
      </c>
    </row>
    <row r="343" spans="1:26" ht="13.9">
      <c r="A343" s="23" t="s">
        <v>294</v>
      </c>
      <c r="B343" s="24" t="s">
        <v>295</v>
      </c>
      <c r="C343" s="73" t="s">
        <v>904</v>
      </c>
      <c r="D343" s="30" t="s">
        <v>905</v>
      </c>
      <c r="E343" s="31" t="s">
        <v>906</v>
      </c>
      <c r="F343" s="93">
        <v>161</v>
      </c>
      <c r="G343" s="27">
        <v>4</v>
      </c>
      <c r="H343" s="27">
        <v>4</v>
      </c>
      <c r="I343" s="27">
        <v>2</v>
      </c>
      <c r="J343" s="27">
        <v>1</v>
      </c>
      <c r="K343" s="27">
        <v>0</v>
      </c>
      <c r="L343" s="27">
        <v>0</v>
      </c>
      <c r="M343" s="23">
        <f>SUM(EDProj[[#This Row],[★ Hard Case Voting Machines]:[★ Curbside (Rollie) Voting Machine]])</f>
        <v>3</v>
      </c>
      <c r="N343" s="23">
        <v>1</v>
      </c>
      <c r="O343" s="27">
        <v>4</v>
      </c>
      <c r="P343" s="27">
        <v>1</v>
      </c>
      <c r="Q343" s="23">
        <v>1</v>
      </c>
      <c r="R343" s="27">
        <f>EDProj[[#This Row],[★ Judge]]+EDProj[[#This Row],[★ Alt Judge]]+EDProj[[#This Row],[★ Clerks]]</f>
        <v>6</v>
      </c>
      <c r="S343" s="28">
        <v>500</v>
      </c>
      <c r="T343" s="23">
        <f>EDProj[[#This Row],[★ Ballot Cards]]/250</f>
        <v>2</v>
      </c>
      <c r="U343" s="38">
        <f>EDProj[[#This Row],[★ Soft Case (ADA) Voting Machines]]+EDProj[[#This Row],[Old EPB Allocation]]</f>
        <v>5</v>
      </c>
      <c r="V343" s="38">
        <f>EDProj[[#This Row],[Tables Needed]]</f>
        <v>5</v>
      </c>
      <c r="W343" s="27">
        <v>0</v>
      </c>
      <c r="X343" s="27">
        <v>0</v>
      </c>
      <c r="Y343" s="23">
        <f>ROUNDUP(IF(EDProj[[#This Row],[Tables Needed]]-EDProj[[#This Row],[Tables Provided by the Vote Center]]&lt;0,0,EDProj[[#This Row],[Tables Needed]]-EDProj[[#This Row],[Tables Provided by the Vote Center]]),0)</f>
        <v>5</v>
      </c>
      <c r="Z343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344" spans="1:26" ht="13.9">
      <c r="A344" s="23" t="s">
        <v>113</v>
      </c>
      <c r="B344" s="24" t="s">
        <v>271</v>
      </c>
      <c r="C344" s="73" t="s">
        <v>904</v>
      </c>
      <c r="D344" s="25" t="s">
        <v>270</v>
      </c>
      <c r="E344" s="26" t="s">
        <v>272</v>
      </c>
      <c r="F344" s="92">
        <v>1084</v>
      </c>
      <c r="G344" s="27">
        <v>5</v>
      </c>
      <c r="H344" s="27">
        <v>6</v>
      </c>
      <c r="I344" s="27">
        <v>15</v>
      </c>
      <c r="J344" s="27">
        <v>1</v>
      </c>
      <c r="K344" s="27">
        <v>1</v>
      </c>
      <c r="L344" s="27">
        <v>1</v>
      </c>
      <c r="M344" s="23">
        <f>SUM(EDProj[[#This Row],[★ Hard Case Voting Machines]:[★ Curbside (Rollie) Voting Machine]])</f>
        <v>18</v>
      </c>
      <c r="N344" s="23">
        <v>1</v>
      </c>
      <c r="O344" s="27">
        <v>9</v>
      </c>
      <c r="P344" s="27">
        <v>1</v>
      </c>
      <c r="Q344" s="23">
        <v>1</v>
      </c>
      <c r="R344" s="27">
        <f>EDProj[[#This Row],[★ Judge]]+EDProj[[#This Row],[★ Alt Judge]]+EDProj[[#This Row],[★ Clerks]]</f>
        <v>11</v>
      </c>
      <c r="S344" s="28">
        <v>1750</v>
      </c>
      <c r="T344" s="23">
        <f>EDProj[[#This Row],[★ Ballot Cards]]/250</f>
        <v>7</v>
      </c>
      <c r="U344" s="38">
        <f>EDProj[[#This Row],[★ Soft Case (ADA) Voting Machines]]+EDProj[[#This Row],[Old EPB Allocation]]</f>
        <v>6</v>
      </c>
      <c r="V344" s="38">
        <f>EDProj[[#This Row],[Tables Needed]]</f>
        <v>6</v>
      </c>
      <c r="W344" s="27">
        <v>0</v>
      </c>
      <c r="X344" s="27">
        <v>0</v>
      </c>
      <c r="Y344" s="23">
        <f>ROUNDUP(IF(EDProj[[#This Row],[Tables Needed]]-EDProj[[#This Row],[Tables Provided by the Vote Center]]&lt;0,0,EDProj[[#This Row],[Tables Needed]]-EDProj[[#This Row],[Tables Provided by the Vote Center]]),0)</f>
        <v>6</v>
      </c>
      <c r="Z344" s="23">
        <f>ROUNDUP(IF(EDProj[[#This Row],[Chairs Needed]]-EDProj[[#This Row],[Chairs Provided by the Vote Center]]&lt;0,0,EDProj[[#This Row],[Chairs Needed]]-EDProj[[#This Row],[Chairs Provided by the Vote Center]]),0)</f>
        <v>6</v>
      </c>
    </row>
    <row r="345" spans="1:26" ht="13.9">
      <c r="A345" s="23" t="s">
        <v>294</v>
      </c>
      <c r="B345" s="24" t="s">
        <v>295</v>
      </c>
      <c r="C345" s="73" t="s">
        <v>904</v>
      </c>
      <c r="D345" s="25" t="s">
        <v>907</v>
      </c>
      <c r="E345" s="26" t="s">
        <v>908</v>
      </c>
      <c r="F345" s="92">
        <v>289</v>
      </c>
      <c r="G345" s="27">
        <v>4</v>
      </c>
      <c r="H345" s="27">
        <v>4</v>
      </c>
      <c r="I345" s="27">
        <v>5</v>
      </c>
      <c r="J345" s="27">
        <v>1</v>
      </c>
      <c r="K345" s="27">
        <v>0</v>
      </c>
      <c r="L345" s="27">
        <v>0</v>
      </c>
      <c r="M345" s="23">
        <f>SUM(EDProj[[#This Row],[★ Hard Case Voting Machines]:[★ Curbside (Rollie) Voting Machine]])</f>
        <v>6</v>
      </c>
      <c r="N345" s="23">
        <v>1</v>
      </c>
      <c r="O345" s="27">
        <v>5</v>
      </c>
      <c r="P345" s="27">
        <v>1</v>
      </c>
      <c r="Q345" s="23">
        <v>1</v>
      </c>
      <c r="R345" s="27">
        <f>EDProj[[#This Row],[★ Judge]]+EDProj[[#This Row],[★ Alt Judge]]+EDProj[[#This Row],[★ Clerks]]</f>
        <v>7</v>
      </c>
      <c r="S345" s="28">
        <v>500</v>
      </c>
      <c r="T345" s="23">
        <f>EDProj[[#This Row],[★ Ballot Cards]]/250</f>
        <v>2</v>
      </c>
      <c r="U345" s="38">
        <f>EDProj[[#This Row],[★ Soft Case (ADA) Voting Machines]]+EDProj[[#This Row],[Old EPB Allocation]]</f>
        <v>5</v>
      </c>
      <c r="V345" s="38">
        <f>EDProj[[#This Row],[Tables Needed]]</f>
        <v>5</v>
      </c>
      <c r="W345" s="27">
        <v>0</v>
      </c>
      <c r="X345" s="27">
        <v>0</v>
      </c>
      <c r="Y345" s="23">
        <f>ROUNDUP(IF(EDProj[[#This Row],[Tables Needed]]-EDProj[[#This Row],[Tables Provided by the Vote Center]]&lt;0,0,EDProj[[#This Row],[Tables Needed]]-EDProj[[#This Row],[Tables Provided by the Vote Center]]),0)</f>
        <v>5</v>
      </c>
      <c r="Z345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346" spans="1:26" ht="13.9">
      <c r="A346" s="23" t="s">
        <v>294</v>
      </c>
      <c r="B346" s="24" t="s">
        <v>295</v>
      </c>
      <c r="C346" s="73" t="s">
        <v>904</v>
      </c>
      <c r="D346" s="25" t="s">
        <v>909</v>
      </c>
      <c r="E346" s="26" t="s">
        <v>910</v>
      </c>
      <c r="F346" s="92">
        <v>295</v>
      </c>
      <c r="G346" s="27">
        <v>4</v>
      </c>
      <c r="H346" s="27">
        <v>4</v>
      </c>
      <c r="I346" s="27">
        <v>4</v>
      </c>
      <c r="J346" s="27">
        <v>1</v>
      </c>
      <c r="K346" s="27">
        <v>0</v>
      </c>
      <c r="L346" s="27">
        <v>0</v>
      </c>
      <c r="M346" s="23">
        <f>SUM(EDProj[[#This Row],[★ Hard Case Voting Machines]:[★ Curbside (Rollie) Voting Machine]])</f>
        <v>5</v>
      </c>
      <c r="N346" s="23">
        <v>1</v>
      </c>
      <c r="O346" s="27">
        <v>5</v>
      </c>
      <c r="P346" s="27">
        <v>1</v>
      </c>
      <c r="Q346" s="23">
        <v>1</v>
      </c>
      <c r="R346" s="27">
        <f>EDProj[[#This Row],[★ Judge]]+EDProj[[#This Row],[★ Alt Judge]]+EDProj[[#This Row],[★ Clerks]]</f>
        <v>7</v>
      </c>
      <c r="S346" s="28">
        <v>500</v>
      </c>
      <c r="T346" s="23">
        <f>EDProj[[#This Row],[★ Ballot Cards]]/250</f>
        <v>2</v>
      </c>
      <c r="U346" s="38">
        <f>EDProj[[#This Row],[★ Soft Case (ADA) Voting Machines]]+EDProj[[#This Row],[Old EPB Allocation]]</f>
        <v>5</v>
      </c>
      <c r="V346" s="38">
        <f>EDProj[[#This Row],[Tables Needed]]</f>
        <v>5</v>
      </c>
      <c r="W346" s="27">
        <v>0</v>
      </c>
      <c r="X346" s="27">
        <v>0</v>
      </c>
      <c r="Y346" s="23">
        <f>ROUNDUP(IF(EDProj[[#This Row],[Tables Needed]]-EDProj[[#This Row],[Tables Provided by the Vote Center]]&lt;0,0,EDProj[[#This Row],[Tables Needed]]-EDProj[[#This Row],[Tables Provided by the Vote Center]]),0)</f>
        <v>5</v>
      </c>
      <c r="Z346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347" spans="1:26" ht="13.9">
      <c r="A347" s="23" t="s">
        <v>294</v>
      </c>
      <c r="B347" s="24" t="s">
        <v>295</v>
      </c>
      <c r="C347" s="73" t="s">
        <v>904</v>
      </c>
      <c r="D347" s="25" t="s">
        <v>911</v>
      </c>
      <c r="E347" s="26" t="s">
        <v>912</v>
      </c>
      <c r="F347" s="92">
        <v>221</v>
      </c>
      <c r="G347" s="27">
        <v>4</v>
      </c>
      <c r="H347" s="27">
        <v>4</v>
      </c>
      <c r="I347" s="27">
        <v>4</v>
      </c>
      <c r="J347" s="27">
        <v>1</v>
      </c>
      <c r="K347" s="27">
        <v>0</v>
      </c>
      <c r="L347" s="27">
        <v>0</v>
      </c>
      <c r="M347" s="23">
        <f>SUM(EDProj[[#This Row],[★ Hard Case Voting Machines]:[★ Curbside (Rollie) Voting Machine]])</f>
        <v>5</v>
      </c>
      <c r="N347" s="23">
        <v>1</v>
      </c>
      <c r="O347" s="27">
        <v>5</v>
      </c>
      <c r="P347" s="27">
        <v>1</v>
      </c>
      <c r="Q347" s="23">
        <v>1</v>
      </c>
      <c r="R347" s="27">
        <f>EDProj[[#This Row],[★ Judge]]+EDProj[[#This Row],[★ Alt Judge]]+EDProj[[#This Row],[★ Clerks]]</f>
        <v>7</v>
      </c>
      <c r="S347" s="28">
        <v>500</v>
      </c>
      <c r="T347" s="23">
        <f>EDProj[[#This Row],[★ Ballot Cards]]/250</f>
        <v>2</v>
      </c>
      <c r="U347" s="38">
        <f>EDProj[[#This Row],[★ Soft Case (ADA) Voting Machines]]+EDProj[[#This Row],[Old EPB Allocation]]</f>
        <v>5</v>
      </c>
      <c r="V347" s="38">
        <f>EDProj[[#This Row],[Tables Needed]]</f>
        <v>5</v>
      </c>
      <c r="W347" s="27">
        <v>0</v>
      </c>
      <c r="X347" s="27">
        <v>0</v>
      </c>
      <c r="Y347" s="23">
        <f>ROUNDUP(IF(EDProj[[#This Row],[Tables Needed]]-EDProj[[#This Row],[Tables Provided by the Vote Center]]&lt;0,0,EDProj[[#This Row],[Tables Needed]]-EDProj[[#This Row],[Tables Provided by the Vote Center]]),0)</f>
        <v>5</v>
      </c>
      <c r="Z347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348" spans="1:26" ht="13.9">
      <c r="A348" s="23" t="s">
        <v>294</v>
      </c>
      <c r="B348" s="24" t="s">
        <v>295</v>
      </c>
      <c r="C348" s="73" t="s">
        <v>904</v>
      </c>
      <c r="D348" s="25" t="s">
        <v>913</v>
      </c>
      <c r="E348" s="26" t="s">
        <v>914</v>
      </c>
      <c r="F348" s="92">
        <v>217</v>
      </c>
      <c r="G348" s="27">
        <v>4</v>
      </c>
      <c r="H348" s="27">
        <v>4</v>
      </c>
      <c r="I348" s="27">
        <v>4</v>
      </c>
      <c r="J348" s="27">
        <v>1</v>
      </c>
      <c r="K348" s="27">
        <v>0</v>
      </c>
      <c r="L348" s="27">
        <v>0</v>
      </c>
      <c r="M348" s="23">
        <f>SUM(EDProj[[#This Row],[★ Hard Case Voting Machines]:[★ Curbside (Rollie) Voting Machine]])</f>
        <v>5</v>
      </c>
      <c r="N348" s="23">
        <v>1</v>
      </c>
      <c r="O348" s="27">
        <v>5</v>
      </c>
      <c r="P348" s="27">
        <v>1</v>
      </c>
      <c r="Q348" s="23">
        <v>1</v>
      </c>
      <c r="R348" s="27">
        <f>EDProj[[#This Row],[★ Judge]]+EDProj[[#This Row],[★ Alt Judge]]+EDProj[[#This Row],[★ Clerks]]</f>
        <v>7</v>
      </c>
      <c r="S348" s="28">
        <v>500</v>
      </c>
      <c r="T348" s="23">
        <f>EDProj[[#This Row],[★ Ballot Cards]]/250</f>
        <v>2</v>
      </c>
      <c r="U348" s="38">
        <f>EDProj[[#This Row],[★ Soft Case (ADA) Voting Machines]]+EDProj[[#This Row],[Old EPB Allocation]]</f>
        <v>5</v>
      </c>
      <c r="V348" s="38">
        <f>EDProj[[#This Row],[Tables Needed]]</f>
        <v>5</v>
      </c>
      <c r="W348" s="27">
        <v>23</v>
      </c>
      <c r="X348" s="27">
        <v>50</v>
      </c>
      <c r="Y348" s="23">
        <f>ROUNDUP(IF(EDProj[[#This Row],[Tables Needed]]-EDProj[[#This Row],[Tables Provided by the Vote Center]]&lt;0,0,EDProj[[#This Row],[Tables Needed]]-EDProj[[#This Row],[Tables Provided by the Vote Center]]),0)</f>
        <v>0</v>
      </c>
      <c r="Z348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349" spans="1:26" ht="13.9">
      <c r="A349" s="23" t="s">
        <v>294</v>
      </c>
      <c r="B349" s="24" t="s">
        <v>295</v>
      </c>
      <c r="C349" s="73" t="s">
        <v>904</v>
      </c>
      <c r="D349" s="30" t="s">
        <v>915</v>
      </c>
      <c r="E349" s="31" t="s">
        <v>916</v>
      </c>
      <c r="F349" s="93">
        <v>123</v>
      </c>
      <c r="G349" s="27">
        <v>4</v>
      </c>
      <c r="H349" s="27">
        <v>4</v>
      </c>
      <c r="I349" s="27">
        <v>2</v>
      </c>
      <c r="J349" s="27">
        <v>1</v>
      </c>
      <c r="K349" s="27">
        <v>0</v>
      </c>
      <c r="L349" s="27">
        <v>0</v>
      </c>
      <c r="M349" s="23">
        <f>SUM(EDProj[[#This Row],[★ Hard Case Voting Machines]:[★ Curbside (Rollie) Voting Machine]])</f>
        <v>3</v>
      </c>
      <c r="N349" s="23">
        <v>1</v>
      </c>
      <c r="O349" s="27">
        <v>4</v>
      </c>
      <c r="P349" s="27">
        <v>1</v>
      </c>
      <c r="Q349" s="23">
        <v>1</v>
      </c>
      <c r="R349" s="27">
        <f>EDProj[[#This Row],[★ Judge]]+EDProj[[#This Row],[★ Alt Judge]]+EDProj[[#This Row],[★ Clerks]]</f>
        <v>6</v>
      </c>
      <c r="S349" s="28">
        <v>500</v>
      </c>
      <c r="T349" s="23">
        <f>EDProj[[#This Row],[★ Ballot Cards]]/250</f>
        <v>2</v>
      </c>
      <c r="U349" s="38">
        <f>EDProj[[#This Row],[★ Soft Case (ADA) Voting Machines]]+EDProj[[#This Row],[Old EPB Allocation]]</f>
        <v>5</v>
      </c>
      <c r="V349" s="38">
        <f>EDProj[[#This Row],[Tables Needed]]</f>
        <v>5</v>
      </c>
      <c r="W349" s="27">
        <v>5</v>
      </c>
      <c r="X349" s="27">
        <v>20</v>
      </c>
      <c r="Y349" s="23">
        <f>ROUNDUP(IF(EDProj[[#This Row],[Tables Needed]]-EDProj[[#This Row],[Tables Provided by the Vote Center]]&lt;0,0,EDProj[[#This Row],[Tables Needed]]-EDProj[[#This Row],[Tables Provided by the Vote Center]]),0)</f>
        <v>0</v>
      </c>
      <c r="Z349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350" spans="1:26" ht="13.9">
      <c r="A350" s="23" t="s">
        <v>294</v>
      </c>
      <c r="B350" s="24" t="s">
        <v>295</v>
      </c>
      <c r="C350" s="73" t="s">
        <v>904</v>
      </c>
      <c r="D350" s="30" t="s">
        <v>917</v>
      </c>
      <c r="E350" s="31" t="s">
        <v>918</v>
      </c>
      <c r="F350" s="93">
        <v>134</v>
      </c>
      <c r="G350" s="27">
        <v>4</v>
      </c>
      <c r="H350" s="27">
        <v>4</v>
      </c>
      <c r="I350" s="27">
        <v>2</v>
      </c>
      <c r="J350" s="27">
        <v>1</v>
      </c>
      <c r="K350" s="27">
        <v>0</v>
      </c>
      <c r="L350" s="27">
        <v>0</v>
      </c>
      <c r="M350" s="23">
        <f>SUM(EDProj[[#This Row],[★ Hard Case Voting Machines]:[★ Curbside (Rollie) Voting Machine]])</f>
        <v>3</v>
      </c>
      <c r="N350" s="23">
        <v>1</v>
      </c>
      <c r="O350" s="27">
        <v>4</v>
      </c>
      <c r="P350" s="27">
        <v>1</v>
      </c>
      <c r="Q350" s="23">
        <v>1</v>
      </c>
      <c r="R350" s="27">
        <f>EDProj[[#This Row],[★ Judge]]+EDProj[[#This Row],[★ Alt Judge]]+EDProj[[#This Row],[★ Clerks]]</f>
        <v>6</v>
      </c>
      <c r="S350" s="28">
        <v>500</v>
      </c>
      <c r="T350" s="23">
        <f>EDProj[[#This Row],[★ Ballot Cards]]/250</f>
        <v>2</v>
      </c>
      <c r="U350" s="38">
        <f>EDProj[[#This Row],[★ Soft Case (ADA) Voting Machines]]+EDProj[[#This Row],[Old EPB Allocation]]</f>
        <v>5</v>
      </c>
      <c r="V350" s="38">
        <f>EDProj[[#This Row],[Tables Needed]]</f>
        <v>5</v>
      </c>
      <c r="W350" s="27">
        <v>0</v>
      </c>
      <c r="X350" s="27">
        <v>0</v>
      </c>
      <c r="Y350" s="23">
        <f>ROUNDUP(IF(EDProj[[#This Row],[Tables Needed]]-EDProj[[#This Row],[Tables Provided by the Vote Center]]&lt;0,0,EDProj[[#This Row],[Tables Needed]]-EDProj[[#This Row],[Tables Provided by the Vote Center]]),0)</f>
        <v>5</v>
      </c>
      <c r="Z350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351" spans="1:26" ht="13.9">
      <c r="A351" s="23" t="s">
        <v>113</v>
      </c>
      <c r="B351" s="24" t="s">
        <v>268</v>
      </c>
      <c r="C351" s="73" t="s">
        <v>904</v>
      </c>
      <c r="D351" s="25" t="s">
        <v>267</v>
      </c>
      <c r="E351" s="26" t="s">
        <v>269</v>
      </c>
      <c r="F351" s="92">
        <v>1032</v>
      </c>
      <c r="G351" s="27">
        <v>4.5</v>
      </c>
      <c r="H351" s="27">
        <v>6</v>
      </c>
      <c r="I351" s="27">
        <v>11</v>
      </c>
      <c r="J351" s="27">
        <v>1</v>
      </c>
      <c r="K351" s="27">
        <v>1</v>
      </c>
      <c r="L351" s="27">
        <v>1</v>
      </c>
      <c r="M351" s="23">
        <f>SUM(EDProj[[#This Row],[★ Hard Case Voting Machines]:[★ Curbside (Rollie) Voting Machine]])</f>
        <v>14</v>
      </c>
      <c r="N351" s="23">
        <v>1</v>
      </c>
      <c r="O351" s="27">
        <v>8</v>
      </c>
      <c r="P351" s="27">
        <v>1</v>
      </c>
      <c r="Q351" s="23">
        <v>1</v>
      </c>
      <c r="R351" s="27">
        <f>EDProj[[#This Row],[★ Judge]]+EDProj[[#This Row],[★ Alt Judge]]+EDProj[[#This Row],[★ Clerks]]</f>
        <v>10</v>
      </c>
      <c r="S351" s="28">
        <v>1750</v>
      </c>
      <c r="T351" s="23">
        <f>EDProj[[#This Row],[★ Ballot Cards]]/250</f>
        <v>7</v>
      </c>
      <c r="U351" s="38">
        <f>EDProj[[#This Row],[★ Soft Case (ADA) Voting Machines]]+EDProj[[#This Row],[Old EPB Allocation]]</f>
        <v>5.5</v>
      </c>
      <c r="V351" s="38">
        <f>EDProj[[#This Row],[Tables Needed]]</f>
        <v>5.5</v>
      </c>
      <c r="W351" s="27">
        <v>0</v>
      </c>
      <c r="X351" s="27">
        <v>0</v>
      </c>
      <c r="Y351" s="23">
        <f>ROUNDUP(IF(EDProj[[#This Row],[Tables Needed]]-EDProj[[#This Row],[Tables Provided by the Vote Center]]&lt;0,0,EDProj[[#This Row],[Tables Needed]]-EDProj[[#This Row],[Tables Provided by the Vote Center]]),0)</f>
        <v>6</v>
      </c>
      <c r="Z351" s="23">
        <f>ROUNDUP(IF(EDProj[[#This Row],[Chairs Needed]]-EDProj[[#This Row],[Chairs Provided by the Vote Center]]&lt;0,0,EDProj[[#This Row],[Chairs Needed]]-EDProj[[#This Row],[Chairs Provided by the Vote Center]]),0)</f>
        <v>6</v>
      </c>
    </row>
    <row r="352" spans="1:26" ht="13.9">
      <c r="A352" s="23" t="s">
        <v>294</v>
      </c>
      <c r="B352" s="24" t="s">
        <v>295</v>
      </c>
      <c r="C352" s="73" t="s">
        <v>904</v>
      </c>
      <c r="D352" s="30" t="s">
        <v>919</v>
      </c>
      <c r="E352" s="31" t="s">
        <v>920</v>
      </c>
      <c r="F352" s="93">
        <v>165</v>
      </c>
      <c r="G352" s="27">
        <v>4</v>
      </c>
      <c r="H352" s="27">
        <v>4</v>
      </c>
      <c r="I352" s="27">
        <v>2</v>
      </c>
      <c r="J352" s="27">
        <v>1</v>
      </c>
      <c r="K352" s="27">
        <v>0</v>
      </c>
      <c r="L352" s="27">
        <v>0</v>
      </c>
      <c r="M352" s="23">
        <f>SUM(EDProj[[#This Row],[★ Hard Case Voting Machines]:[★ Curbside (Rollie) Voting Machine]])</f>
        <v>3</v>
      </c>
      <c r="N352" s="23">
        <v>1</v>
      </c>
      <c r="O352" s="27">
        <v>4</v>
      </c>
      <c r="P352" s="27">
        <v>1</v>
      </c>
      <c r="Q352" s="23">
        <v>1</v>
      </c>
      <c r="R352" s="27">
        <f>EDProj[[#This Row],[★ Judge]]+EDProj[[#This Row],[★ Alt Judge]]+EDProj[[#This Row],[★ Clerks]]</f>
        <v>6</v>
      </c>
      <c r="S352" s="28">
        <v>500</v>
      </c>
      <c r="T352" s="23">
        <f>EDProj[[#This Row],[★ Ballot Cards]]/250</f>
        <v>2</v>
      </c>
      <c r="U352" s="38">
        <f>EDProj[[#This Row],[★ Soft Case (ADA) Voting Machines]]+EDProj[[#This Row],[Old EPB Allocation]]</f>
        <v>5</v>
      </c>
      <c r="V352" s="38">
        <f>EDProj[[#This Row],[Tables Needed]]</f>
        <v>5</v>
      </c>
      <c r="W352" s="27">
        <v>9</v>
      </c>
      <c r="X352" s="27">
        <v>75</v>
      </c>
      <c r="Y352" s="23">
        <f>ROUNDUP(IF(EDProj[[#This Row],[Tables Needed]]-EDProj[[#This Row],[Tables Provided by the Vote Center]]&lt;0,0,EDProj[[#This Row],[Tables Needed]]-EDProj[[#This Row],[Tables Provided by the Vote Center]]),0)</f>
        <v>0</v>
      </c>
      <c r="Z352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353" spans="1:26" ht="13.9">
      <c r="A353" s="23" t="s">
        <v>294</v>
      </c>
      <c r="B353" s="24" t="s">
        <v>295</v>
      </c>
      <c r="C353" s="73" t="s">
        <v>904</v>
      </c>
      <c r="D353" s="25" t="s">
        <v>921</v>
      </c>
      <c r="E353" s="26" t="s">
        <v>922</v>
      </c>
      <c r="F353" s="92">
        <v>257</v>
      </c>
      <c r="G353" s="27">
        <v>4</v>
      </c>
      <c r="H353" s="27">
        <v>4</v>
      </c>
      <c r="I353" s="27">
        <v>3</v>
      </c>
      <c r="J353" s="27">
        <v>1</v>
      </c>
      <c r="K353" s="27">
        <v>0</v>
      </c>
      <c r="L353" s="27">
        <v>0</v>
      </c>
      <c r="M353" s="23">
        <f>SUM(EDProj[[#This Row],[★ Hard Case Voting Machines]:[★ Curbside (Rollie) Voting Machine]])</f>
        <v>4</v>
      </c>
      <c r="N353" s="23">
        <v>1</v>
      </c>
      <c r="O353" s="27">
        <v>4</v>
      </c>
      <c r="P353" s="27">
        <v>1</v>
      </c>
      <c r="Q353" s="23">
        <v>1</v>
      </c>
      <c r="R353" s="27">
        <f>EDProj[[#This Row],[★ Judge]]+EDProj[[#This Row],[★ Alt Judge]]+EDProj[[#This Row],[★ Clerks]]</f>
        <v>6</v>
      </c>
      <c r="S353" s="28">
        <v>500</v>
      </c>
      <c r="T353" s="23">
        <f>EDProj[[#This Row],[★ Ballot Cards]]/250</f>
        <v>2</v>
      </c>
      <c r="U353" s="38">
        <f>EDProj[[#This Row],[★ Soft Case (ADA) Voting Machines]]+EDProj[[#This Row],[Old EPB Allocation]]</f>
        <v>5</v>
      </c>
      <c r="V353" s="38">
        <f>EDProj[[#This Row],[Tables Needed]]</f>
        <v>5</v>
      </c>
      <c r="W353" s="27">
        <v>6</v>
      </c>
      <c r="X353" s="27">
        <v>8</v>
      </c>
      <c r="Y353" s="23">
        <f>ROUNDUP(IF(EDProj[[#This Row],[Tables Needed]]-EDProj[[#This Row],[Tables Provided by the Vote Center]]&lt;0,0,EDProj[[#This Row],[Tables Needed]]-EDProj[[#This Row],[Tables Provided by the Vote Center]]),0)</f>
        <v>0</v>
      </c>
      <c r="Z353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354" spans="1:26" ht="13.9">
      <c r="A354" s="23" t="s">
        <v>294</v>
      </c>
      <c r="B354" s="24" t="s">
        <v>295</v>
      </c>
      <c r="C354" s="73" t="s">
        <v>904</v>
      </c>
      <c r="D354" s="25" t="s">
        <v>923</v>
      </c>
      <c r="E354" s="26" t="s">
        <v>924</v>
      </c>
      <c r="F354" s="92">
        <v>306</v>
      </c>
      <c r="G354" s="27">
        <v>4</v>
      </c>
      <c r="H354" s="27">
        <v>4</v>
      </c>
      <c r="I354" s="27">
        <v>5</v>
      </c>
      <c r="J354" s="27">
        <v>1</v>
      </c>
      <c r="K354" s="27">
        <v>0</v>
      </c>
      <c r="L354" s="27">
        <v>0</v>
      </c>
      <c r="M354" s="23">
        <f>SUM(EDProj[[#This Row],[★ Hard Case Voting Machines]:[★ Curbside (Rollie) Voting Machine]])</f>
        <v>6</v>
      </c>
      <c r="N354" s="23">
        <v>1</v>
      </c>
      <c r="O354" s="27">
        <v>5</v>
      </c>
      <c r="P354" s="27">
        <v>1</v>
      </c>
      <c r="Q354" s="23">
        <v>1</v>
      </c>
      <c r="R354" s="27">
        <f>EDProj[[#This Row],[★ Judge]]+EDProj[[#This Row],[★ Alt Judge]]+EDProj[[#This Row],[★ Clerks]]</f>
        <v>7</v>
      </c>
      <c r="S354" s="28">
        <v>500</v>
      </c>
      <c r="T354" s="23">
        <f>EDProj[[#This Row],[★ Ballot Cards]]/250</f>
        <v>2</v>
      </c>
      <c r="U354" s="38">
        <f>EDProj[[#This Row],[★ Soft Case (ADA) Voting Machines]]+EDProj[[#This Row],[Old EPB Allocation]]</f>
        <v>5</v>
      </c>
      <c r="V354" s="38">
        <f>EDProj[[#This Row],[Tables Needed]]</f>
        <v>5</v>
      </c>
      <c r="W354" s="27">
        <v>0</v>
      </c>
      <c r="X354" s="27">
        <v>0</v>
      </c>
      <c r="Y354" s="23">
        <f>ROUNDUP(IF(EDProj[[#This Row],[Tables Needed]]-EDProj[[#This Row],[Tables Provided by the Vote Center]]&lt;0,0,EDProj[[#This Row],[Tables Needed]]-EDProj[[#This Row],[Tables Provided by the Vote Center]]),0)</f>
        <v>5</v>
      </c>
      <c r="Z354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355" spans="1:26" ht="13.9">
      <c r="A355" s="23" t="s">
        <v>294</v>
      </c>
      <c r="B355" s="24" t="s">
        <v>295</v>
      </c>
      <c r="C355" s="73" t="s">
        <v>904</v>
      </c>
      <c r="D355" s="25" t="s">
        <v>925</v>
      </c>
      <c r="E355" s="26" t="s">
        <v>926</v>
      </c>
      <c r="F355" s="92">
        <v>241</v>
      </c>
      <c r="G355" s="27">
        <v>4</v>
      </c>
      <c r="H355" s="27">
        <v>4</v>
      </c>
      <c r="I355" s="27">
        <v>4</v>
      </c>
      <c r="J355" s="27">
        <v>1</v>
      </c>
      <c r="K355" s="27">
        <v>0</v>
      </c>
      <c r="L355" s="27">
        <v>0</v>
      </c>
      <c r="M355" s="23">
        <f>SUM(EDProj[[#This Row],[★ Hard Case Voting Machines]:[★ Curbside (Rollie) Voting Machine]])</f>
        <v>5</v>
      </c>
      <c r="N355" s="23">
        <v>1</v>
      </c>
      <c r="O355" s="27">
        <v>5</v>
      </c>
      <c r="P355" s="27">
        <v>1</v>
      </c>
      <c r="Q355" s="23">
        <v>1</v>
      </c>
      <c r="R355" s="27">
        <f>EDProj[[#This Row],[★ Judge]]+EDProj[[#This Row],[★ Alt Judge]]+EDProj[[#This Row],[★ Clerks]]</f>
        <v>7</v>
      </c>
      <c r="S355" s="28">
        <v>500</v>
      </c>
      <c r="T355" s="23">
        <f>EDProj[[#This Row],[★ Ballot Cards]]/250</f>
        <v>2</v>
      </c>
      <c r="U355" s="38">
        <f>EDProj[[#This Row],[★ Soft Case (ADA) Voting Machines]]+EDProj[[#This Row],[Old EPB Allocation]]</f>
        <v>5</v>
      </c>
      <c r="V355" s="38">
        <f>EDProj[[#This Row],[Tables Needed]]</f>
        <v>5</v>
      </c>
      <c r="W355" s="27">
        <v>0</v>
      </c>
      <c r="X355" s="27">
        <v>0</v>
      </c>
      <c r="Y355" s="23">
        <f>ROUNDUP(IF(EDProj[[#This Row],[Tables Needed]]-EDProj[[#This Row],[Tables Provided by the Vote Center]]&lt;0,0,EDProj[[#This Row],[Tables Needed]]-EDProj[[#This Row],[Tables Provided by the Vote Center]]),0)</f>
        <v>5</v>
      </c>
      <c r="Z355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356" spans="1:26" ht="13.9">
      <c r="A356" s="23" t="s">
        <v>294</v>
      </c>
      <c r="B356" s="24" t="s">
        <v>295</v>
      </c>
      <c r="C356" s="73" t="s">
        <v>904</v>
      </c>
      <c r="D356" s="25" t="s">
        <v>927</v>
      </c>
      <c r="E356" s="26" t="s">
        <v>928</v>
      </c>
      <c r="F356" s="92">
        <v>205</v>
      </c>
      <c r="G356" s="27">
        <v>4</v>
      </c>
      <c r="H356" s="27">
        <v>4</v>
      </c>
      <c r="I356" s="27">
        <v>3</v>
      </c>
      <c r="J356" s="27">
        <v>1</v>
      </c>
      <c r="K356" s="27">
        <v>0</v>
      </c>
      <c r="L356" s="27">
        <v>0</v>
      </c>
      <c r="M356" s="23">
        <f>SUM(EDProj[[#This Row],[★ Hard Case Voting Machines]:[★ Curbside (Rollie) Voting Machine]])</f>
        <v>4</v>
      </c>
      <c r="N356" s="23">
        <v>1</v>
      </c>
      <c r="O356" s="27">
        <v>4</v>
      </c>
      <c r="P356" s="27">
        <v>1</v>
      </c>
      <c r="Q356" s="23">
        <v>1</v>
      </c>
      <c r="R356" s="27">
        <f>EDProj[[#This Row],[★ Judge]]+EDProj[[#This Row],[★ Alt Judge]]+EDProj[[#This Row],[★ Clerks]]</f>
        <v>6</v>
      </c>
      <c r="S356" s="28">
        <v>500</v>
      </c>
      <c r="T356" s="23">
        <f>EDProj[[#This Row],[★ Ballot Cards]]/250</f>
        <v>2</v>
      </c>
      <c r="U356" s="38">
        <f>EDProj[[#This Row],[★ Soft Case (ADA) Voting Machines]]+EDProj[[#This Row],[Old EPB Allocation]]</f>
        <v>5</v>
      </c>
      <c r="V356" s="38">
        <f>EDProj[[#This Row],[Tables Needed]]</f>
        <v>5</v>
      </c>
      <c r="W356" s="27">
        <v>0</v>
      </c>
      <c r="X356" s="27">
        <v>0</v>
      </c>
      <c r="Y356" s="23">
        <f>ROUNDUP(IF(EDProj[[#This Row],[Tables Needed]]-EDProj[[#This Row],[Tables Provided by the Vote Center]]&lt;0,0,EDProj[[#This Row],[Tables Needed]]-EDProj[[#This Row],[Tables Provided by the Vote Center]]),0)</f>
        <v>5</v>
      </c>
      <c r="Z356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357" spans="1:26" ht="13.9">
      <c r="A357" s="23" t="s">
        <v>294</v>
      </c>
      <c r="B357" s="24" t="s">
        <v>295</v>
      </c>
      <c r="C357" s="73" t="s">
        <v>904</v>
      </c>
      <c r="D357" s="30" t="s">
        <v>929</v>
      </c>
      <c r="E357" s="31" t="s">
        <v>930</v>
      </c>
      <c r="F357" s="93">
        <v>121</v>
      </c>
      <c r="G357" s="27">
        <v>4</v>
      </c>
      <c r="H357" s="27">
        <v>4</v>
      </c>
      <c r="I357" s="27">
        <v>2</v>
      </c>
      <c r="J357" s="27">
        <v>1</v>
      </c>
      <c r="K357" s="27">
        <v>0</v>
      </c>
      <c r="L357" s="27">
        <v>0</v>
      </c>
      <c r="M357" s="23">
        <f>SUM(EDProj[[#This Row],[★ Hard Case Voting Machines]:[★ Curbside (Rollie) Voting Machine]])</f>
        <v>3</v>
      </c>
      <c r="N357" s="23">
        <v>1</v>
      </c>
      <c r="O357" s="27">
        <v>4</v>
      </c>
      <c r="P357" s="27">
        <v>1</v>
      </c>
      <c r="Q357" s="23">
        <v>1</v>
      </c>
      <c r="R357" s="27">
        <f>EDProj[[#This Row],[★ Judge]]+EDProj[[#This Row],[★ Alt Judge]]+EDProj[[#This Row],[★ Clerks]]</f>
        <v>6</v>
      </c>
      <c r="S357" s="28">
        <v>500</v>
      </c>
      <c r="T357" s="23">
        <f>EDProj[[#This Row],[★ Ballot Cards]]/250</f>
        <v>2</v>
      </c>
      <c r="U357" s="38">
        <f>EDProj[[#This Row],[★ Soft Case (ADA) Voting Machines]]+EDProj[[#This Row],[Old EPB Allocation]]</f>
        <v>5</v>
      </c>
      <c r="V357" s="38">
        <f>EDProj[[#This Row],[Tables Needed]]</f>
        <v>5</v>
      </c>
      <c r="W357" s="27">
        <v>5</v>
      </c>
      <c r="X357" s="27">
        <v>10</v>
      </c>
      <c r="Y357" s="23">
        <f>ROUNDUP(IF(EDProj[[#This Row],[Tables Needed]]-EDProj[[#This Row],[Tables Provided by the Vote Center]]&lt;0,0,EDProj[[#This Row],[Tables Needed]]-EDProj[[#This Row],[Tables Provided by the Vote Center]]),0)</f>
        <v>0</v>
      </c>
      <c r="Z357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358" spans="1:26" ht="13.9">
      <c r="A358" s="23" t="s">
        <v>294</v>
      </c>
      <c r="B358" s="24" t="s">
        <v>295</v>
      </c>
      <c r="C358" s="73" t="s">
        <v>904</v>
      </c>
      <c r="D358" s="25" t="s">
        <v>931</v>
      </c>
      <c r="E358" s="26" t="s">
        <v>932</v>
      </c>
      <c r="F358" s="92">
        <v>274</v>
      </c>
      <c r="G358" s="27">
        <v>4</v>
      </c>
      <c r="H358" s="27">
        <v>4</v>
      </c>
      <c r="I358" s="27">
        <v>4</v>
      </c>
      <c r="J358" s="27">
        <v>1</v>
      </c>
      <c r="K358" s="27">
        <v>0</v>
      </c>
      <c r="L358" s="27">
        <v>0</v>
      </c>
      <c r="M358" s="23">
        <f>SUM(EDProj[[#This Row],[★ Hard Case Voting Machines]:[★ Curbside (Rollie) Voting Machine]])</f>
        <v>5</v>
      </c>
      <c r="N358" s="23">
        <v>1</v>
      </c>
      <c r="O358" s="27">
        <v>5</v>
      </c>
      <c r="P358" s="27">
        <v>1</v>
      </c>
      <c r="Q358" s="23">
        <v>1</v>
      </c>
      <c r="R358" s="27">
        <f>EDProj[[#This Row],[★ Judge]]+EDProj[[#This Row],[★ Alt Judge]]+EDProj[[#This Row],[★ Clerks]]</f>
        <v>7</v>
      </c>
      <c r="S358" s="28">
        <v>500</v>
      </c>
      <c r="T358" s="23">
        <f>EDProj[[#This Row],[★ Ballot Cards]]/250</f>
        <v>2</v>
      </c>
      <c r="U358" s="38">
        <f>EDProj[[#This Row],[★ Soft Case (ADA) Voting Machines]]+EDProj[[#This Row],[Old EPB Allocation]]</f>
        <v>5</v>
      </c>
      <c r="V358" s="38">
        <f>EDProj[[#This Row],[Tables Needed]]</f>
        <v>5</v>
      </c>
      <c r="W358" s="27">
        <v>0</v>
      </c>
      <c r="X358" s="27">
        <v>0</v>
      </c>
      <c r="Y358" s="23">
        <f>ROUNDUP(IF(EDProj[[#This Row],[Tables Needed]]-EDProj[[#This Row],[Tables Provided by the Vote Center]]&lt;0,0,EDProj[[#This Row],[Tables Needed]]-EDProj[[#This Row],[Tables Provided by the Vote Center]]),0)</f>
        <v>5</v>
      </c>
      <c r="Z358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359" spans="1:26" ht="13.9">
      <c r="A359" s="23" t="s">
        <v>294</v>
      </c>
      <c r="B359" s="24" t="s">
        <v>295</v>
      </c>
      <c r="C359" s="73" t="s">
        <v>904</v>
      </c>
      <c r="D359" s="25" t="s">
        <v>933</v>
      </c>
      <c r="E359" s="26" t="s">
        <v>934</v>
      </c>
      <c r="F359" s="92">
        <v>307</v>
      </c>
      <c r="G359" s="27">
        <v>4</v>
      </c>
      <c r="H359" s="27">
        <v>4</v>
      </c>
      <c r="I359" s="27">
        <v>4</v>
      </c>
      <c r="J359" s="27">
        <v>1</v>
      </c>
      <c r="K359" s="27">
        <v>0</v>
      </c>
      <c r="L359" s="27">
        <v>0</v>
      </c>
      <c r="M359" s="23">
        <f>SUM(EDProj[[#This Row],[★ Hard Case Voting Machines]:[★ Curbside (Rollie) Voting Machine]])</f>
        <v>5</v>
      </c>
      <c r="N359" s="23">
        <v>1</v>
      </c>
      <c r="O359" s="27">
        <v>5</v>
      </c>
      <c r="P359" s="27">
        <v>1</v>
      </c>
      <c r="Q359" s="23">
        <v>1</v>
      </c>
      <c r="R359" s="27">
        <f>EDProj[[#This Row],[★ Judge]]+EDProj[[#This Row],[★ Alt Judge]]+EDProj[[#This Row],[★ Clerks]]</f>
        <v>7</v>
      </c>
      <c r="S359" s="28">
        <v>500</v>
      </c>
      <c r="T359" s="23">
        <f>EDProj[[#This Row],[★ Ballot Cards]]/250</f>
        <v>2</v>
      </c>
      <c r="U359" s="38">
        <f>EDProj[[#This Row],[★ Soft Case (ADA) Voting Machines]]+EDProj[[#This Row],[Old EPB Allocation]]</f>
        <v>5</v>
      </c>
      <c r="V359" s="38">
        <f>EDProj[[#This Row],[Tables Needed]]</f>
        <v>5</v>
      </c>
      <c r="W359" s="27">
        <v>10</v>
      </c>
      <c r="X359" s="27">
        <v>50</v>
      </c>
      <c r="Y359" s="23">
        <f>ROUNDUP(IF(EDProj[[#This Row],[Tables Needed]]-EDProj[[#This Row],[Tables Provided by the Vote Center]]&lt;0,0,EDProj[[#This Row],[Tables Needed]]-EDProj[[#This Row],[Tables Provided by the Vote Center]]),0)</f>
        <v>0</v>
      </c>
      <c r="Z359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360" spans="1:26" ht="13.9">
      <c r="A360" s="23" t="s">
        <v>294</v>
      </c>
      <c r="B360" s="24" t="s">
        <v>295</v>
      </c>
      <c r="C360" s="73" t="s">
        <v>904</v>
      </c>
      <c r="D360" s="30" t="s">
        <v>935</v>
      </c>
      <c r="E360" s="31" t="s">
        <v>936</v>
      </c>
      <c r="F360" s="93">
        <v>155</v>
      </c>
      <c r="G360" s="27">
        <v>4</v>
      </c>
      <c r="H360" s="27">
        <v>4</v>
      </c>
      <c r="I360" s="27">
        <v>2</v>
      </c>
      <c r="J360" s="27">
        <v>1</v>
      </c>
      <c r="K360" s="27">
        <v>0</v>
      </c>
      <c r="L360" s="27">
        <v>0</v>
      </c>
      <c r="M360" s="23">
        <f>SUM(EDProj[[#This Row],[★ Hard Case Voting Machines]:[★ Curbside (Rollie) Voting Machine]])</f>
        <v>3</v>
      </c>
      <c r="N360" s="23">
        <v>1</v>
      </c>
      <c r="O360" s="27">
        <v>4</v>
      </c>
      <c r="P360" s="27">
        <v>1</v>
      </c>
      <c r="Q360" s="23">
        <v>1</v>
      </c>
      <c r="R360" s="27">
        <f>EDProj[[#This Row],[★ Judge]]+EDProj[[#This Row],[★ Alt Judge]]+EDProj[[#This Row],[★ Clerks]]</f>
        <v>6</v>
      </c>
      <c r="S360" s="28">
        <v>500</v>
      </c>
      <c r="T360" s="23">
        <f>EDProj[[#This Row],[★ Ballot Cards]]/250</f>
        <v>2</v>
      </c>
      <c r="U360" s="38">
        <f>EDProj[[#This Row],[★ Soft Case (ADA) Voting Machines]]+EDProj[[#This Row],[Old EPB Allocation]]</f>
        <v>5</v>
      </c>
      <c r="V360" s="38">
        <f>EDProj[[#This Row],[Tables Needed]]</f>
        <v>5</v>
      </c>
      <c r="W360" s="27">
        <v>30</v>
      </c>
      <c r="X360" s="27">
        <v>499</v>
      </c>
      <c r="Y360" s="23">
        <f>ROUNDUP(IF(EDProj[[#This Row],[Tables Needed]]-EDProj[[#This Row],[Tables Provided by the Vote Center]]&lt;0,0,EDProj[[#This Row],[Tables Needed]]-EDProj[[#This Row],[Tables Provided by the Vote Center]]),0)</f>
        <v>0</v>
      </c>
      <c r="Z360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361" spans="1:26" ht="13.9">
      <c r="A361" s="23" t="s">
        <v>294</v>
      </c>
      <c r="B361" s="24" t="s">
        <v>295</v>
      </c>
      <c r="C361" s="73" t="s">
        <v>904</v>
      </c>
      <c r="D361" s="25" t="s">
        <v>937</v>
      </c>
      <c r="E361" s="26" t="s">
        <v>938</v>
      </c>
      <c r="F361" s="92">
        <v>350</v>
      </c>
      <c r="G361" s="27">
        <v>4</v>
      </c>
      <c r="H361" s="27">
        <v>4</v>
      </c>
      <c r="I361" s="27">
        <v>4</v>
      </c>
      <c r="J361" s="27">
        <v>1</v>
      </c>
      <c r="K361" s="27">
        <v>0</v>
      </c>
      <c r="L361" s="27">
        <v>1</v>
      </c>
      <c r="M361" s="23">
        <f>SUM(EDProj[[#This Row],[★ Hard Case Voting Machines]:[★ Curbside (Rollie) Voting Machine]])</f>
        <v>6</v>
      </c>
      <c r="N361" s="23">
        <v>1</v>
      </c>
      <c r="O361" s="27">
        <v>5</v>
      </c>
      <c r="P361" s="27">
        <v>1</v>
      </c>
      <c r="Q361" s="23">
        <v>1</v>
      </c>
      <c r="R361" s="27">
        <f>EDProj[[#This Row],[★ Judge]]+EDProj[[#This Row],[★ Alt Judge]]+EDProj[[#This Row],[★ Clerks]]</f>
        <v>7</v>
      </c>
      <c r="S361" s="28">
        <v>750</v>
      </c>
      <c r="T361" s="23">
        <f>EDProj[[#This Row],[★ Ballot Cards]]/250</f>
        <v>3</v>
      </c>
      <c r="U361" s="38">
        <f>EDProj[[#This Row],[★ Soft Case (ADA) Voting Machines]]+EDProj[[#This Row],[Old EPB Allocation]]</f>
        <v>5</v>
      </c>
      <c r="V361" s="38">
        <f>EDProj[[#This Row],[Tables Needed]]</f>
        <v>5</v>
      </c>
      <c r="W361" s="27">
        <v>0</v>
      </c>
      <c r="X361" s="27">
        <v>0</v>
      </c>
      <c r="Y361" s="23">
        <f>ROUNDUP(IF(EDProj[[#This Row],[Tables Needed]]-EDProj[[#This Row],[Tables Provided by the Vote Center]]&lt;0,0,EDProj[[#This Row],[Tables Needed]]-EDProj[[#This Row],[Tables Provided by the Vote Center]]),0)</f>
        <v>5</v>
      </c>
      <c r="Z361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362" spans="1:26" ht="13.9">
      <c r="A362" s="23" t="s">
        <v>294</v>
      </c>
      <c r="B362" s="24" t="s">
        <v>295</v>
      </c>
      <c r="C362" s="73" t="s">
        <v>904</v>
      </c>
      <c r="D362" s="30" t="s">
        <v>939</v>
      </c>
      <c r="E362" s="31" t="s">
        <v>940</v>
      </c>
      <c r="F362" s="93">
        <v>120</v>
      </c>
      <c r="G362" s="27">
        <v>4</v>
      </c>
      <c r="H362" s="27">
        <v>4</v>
      </c>
      <c r="I362" s="27">
        <v>2</v>
      </c>
      <c r="J362" s="27">
        <v>1</v>
      </c>
      <c r="K362" s="27">
        <v>0</v>
      </c>
      <c r="L362" s="27">
        <v>0</v>
      </c>
      <c r="M362" s="23">
        <f>SUM(EDProj[[#This Row],[★ Hard Case Voting Machines]:[★ Curbside (Rollie) Voting Machine]])</f>
        <v>3</v>
      </c>
      <c r="N362" s="23">
        <v>1</v>
      </c>
      <c r="O362" s="27">
        <v>4</v>
      </c>
      <c r="P362" s="27">
        <v>1</v>
      </c>
      <c r="Q362" s="23">
        <v>1</v>
      </c>
      <c r="R362" s="27">
        <f>EDProj[[#This Row],[★ Judge]]+EDProj[[#This Row],[★ Alt Judge]]+EDProj[[#This Row],[★ Clerks]]</f>
        <v>6</v>
      </c>
      <c r="S362" s="28">
        <v>500</v>
      </c>
      <c r="T362" s="23">
        <f>EDProj[[#This Row],[★ Ballot Cards]]/250</f>
        <v>2</v>
      </c>
      <c r="U362" s="38">
        <f>EDProj[[#This Row],[★ Soft Case (ADA) Voting Machines]]+EDProj[[#This Row],[Old EPB Allocation]]</f>
        <v>5</v>
      </c>
      <c r="V362" s="38">
        <f>EDProj[[#This Row],[Tables Needed]]</f>
        <v>5</v>
      </c>
      <c r="W362" s="27">
        <v>0</v>
      </c>
      <c r="X362" s="27">
        <v>0</v>
      </c>
      <c r="Y362" s="23">
        <f>ROUNDUP(IF(EDProj[[#This Row],[Tables Needed]]-EDProj[[#This Row],[Tables Provided by the Vote Center]]&lt;0,0,EDProj[[#This Row],[Tables Needed]]-EDProj[[#This Row],[Tables Provided by the Vote Center]]),0)</f>
        <v>5</v>
      </c>
      <c r="Z362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363" spans="1:26" ht="13.9">
      <c r="A363" s="23" t="s">
        <v>294</v>
      </c>
      <c r="B363" s="24" t="s">
        <v>295</v>
      </c>
      <c r="C363" s="73" t="s">
        <v>904</v>
      </c>
      <c r="D363" s="25" t="s">
        <v>941</v>
      </c>
      <c r="E363" s="26" t="s">
        <v>942</v>
      </c>
      <c r="F363" s="92">
        <v>135</v>
      </c>
      <c r="G363" s="27">
        <v>4</v>
      </c>
      <c r="H363" s="27">
        <v>4</v>
      </c>
      <c r="I363" s="27">
        <v>3</v>
      </c>
      <c r="J363" s="27">
        <v>1</v>
      </c>
      <c r="K363" s="27">
        <v>0</v>
      </c>
      <c r="L363" s="27">
        <v>1</v>
      </c>
      <c r="M363" s="23">
        <f>SUM(EDProj[[#This Row],[★ Hard Case Voting Machines]:[★ Curbside (Rollie) Voting Machine]])</f>
        <v>5</v>
      </c>
      <c r="N363" s="23">
        <v>1</v>
      </c>
      <c r="O363" s="27">
        <v>4</v>
      </c>
      <c r="P363" s="27">
        <v>1</v>
      </c>
      <c r="Q363" s="23">
        <v>1</v>
      </c>
      <c r="R363" s="27">
        <f>EDProj[[#This Row],[★ Judge]]+EDProj[[#This Row],[★ Alt Judge]]+EDProj[[#This Row],[★ Clerks]]</f>
        <v>6</v>
      </c>
      <c r="S363" s="28">
        <v>500</v>
      </c>
      <c r="T363" s="23">
        <f>EDProj[[#This Row],[★ Ballot Cards]]/250</f>
        <v>2</v>
      </c>
      <c r="U363" s="38">
        <f>EDProj[[#This Row],[★ Soft Case (ADA) Voting Machines]]+EDProj[[#This Row],[Old EPB Allocation]]</f>
        <v>5</v>
      </c>
      <c r="V363" s="38">
        <f>EDProj[[#This Row],[Tables Needed]]</f>
        <v>5</v>
      </c>
      <c r="W363" s="27">
        <v>0</v>
      </c>
      <c r="X363" s="27">
        <v>0</v>
      </c>
      <c r="Y363" s="23">
        <f>ROUNDUP(IF(EDProj[[#This Row],[Tables Needed]]-EDProj[[#This Row],[Tables Provided by the Vote Center]]&lt;0,0,EDProj[[#This Row],[Tables Needed]]-EDProj[[#This Row],[Tables Provided by the Vote Center]]),0)</f>
        <v>5</v>
      </c>
      <c r="Z363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364" spans="1:26" ht="13.9">
      <c r="A364" s="23" t="s">
        <v>294</v>
      </c>
      <c r="B364" s="24" t="s">
        <v>295</v>
      </c>
      <c r="C364" s="73" t="s">
        <v>904</v>
      </c>
      <c r="D364" s="25" t="s">
        <v>943</v>
      </c>
      <c r="E364" s="26" t="s">
        <v>944</v>
      </c>
      <c r="F364" s="92">
        <v>230</v>
      </c>
      <c r="G364" s="27">
        <v>4</v>
      </c>
      <c r="H364" s="27">
        <v>4</v>
      </c>
      <c r="I364" s="27">
        <v>3</v>
      </c>
      <c r="J364" s="27">
        <v>1</v>
      </c>
      <c r="K364" s="27">
        <v>0</v>
      </c>
      <c r="L364" s="27">
        <v>0</v>
      </c>
      <c r="M364" s="23">
        <f>SUM(EDProj[[#This Row],[★ Hard Case Voting Machines]:[★ Curbside (Rollie) Voting Machine]])</f>
        <v>4</v>
      </c>
      <c r="N364" s="23">
        <v>1</v>
      </c>
      <c r="O364" s="27">
        <v>4</v>
      </c>
      <c r="P364" s="27">
        <v>1</v>
      </c>
      <c r="Q364" s="23">
        <v>1</v>
      </c>
      <c r="R364" s="27">
        <f>EDProj[[#This Row],[★ Judge]]+EDProj[[#This Row],[★ Alt Judge]]+EDProj[[#This Row],[★ Clerks]]</f>
        <v>6</v>
      </c>
      <c r="S364" s="28">
        <v>500</v>
      </c>
      <c r="T364" s="23">
        <f>EDProj[[#This Row],[★ Ballot Cards]]/250</f>
        <v>2</v>
      </c>
      <c r="U364" s="38">
        <f>EDProj[[#This Row],[★ Soft Case (ADA) Voting Machines]]+EDProj[[#This Row],[Old EPB Allocation]]</f>
        <v>5</v>
      </c>
      <c r="V364" s="38">
        <f>EDProj[[#This Row],[Tables Needed]]</f>
        <v>5</v>
      </c>
      <c r="W364" s="27">
        <v>6</v>
      </c>
      <c r="X364" s="27">
        <v>10</v>
      </c>
      <c r="Y364" s="23">
        <f>ROUNDUP(IF(EDProj[[#This Row],[Tables Needed]]-EDProj[[#This Row],[Tables Provided by the Vote Center]]&lt;0,0,EDProj[[#This Row],[Tables Needed]]-EDProj[[#This Row],[Tables Provided by the Vote Center]]),0)</f>
        <v>0</v>
      </c>
      <c r="Z364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365" spans="1:26" ht="13.9">
      <c r="A365" s="23" t="s">
        <v>294</v>
      </c>
      <c r="B365" s="24" t="s">
        <v>295</v>
      </c>
      <c r="C365" s="73" t="s">
        <v>904</v>
      </c>
      <c r="D365" s="30" t="s">
        <v>945</v>
      </c>
      <c r="E365" s="31" t="s">
        <v>946</v>
      </c>
      <c r="F365" s="93">
        <v>112</v>
      </c>
      <c r="G365" s="27">
        <v>4</v>
      </c>
      <c r="H365" s="27">
        <v>4</v>
      </c>
      <c r="I365" s="27">
        <v>2</v>
      </c>
      <c r="J365" s="27">
        <v>1</v>
      </c>
      <c r="K365" s="27">
        <v>0</v>
      </c>
      <c r="L365" s="27">
        <v>0</v>
      </c>
      <c r="M365" s="23">
        <f>SUM(EDProj[[#This Row],[★ Hard Case Voting Machines]:[★ Curbside (Rollie) Voting Machine]])</f>
        <v>3</v>
      </c>
      <c r="N365" s="23">
        <v>1</v>
      </c>
      <c r="O365" s="27">
        <v>4</v>
      </c>
      <c r="P365" s="27">
        <v>1</v>
      </c>
      <c r="Q365" s="23">
        <v>1</v>
      </c>
      <c r="R365" s="27">
        <f>EDProj[[#This Row],[★ Judge]]+EDProj[[#This Row],[★ Alt Judge]]+EDProj[[#This Row],[★ Clerks]]</f>
        <v>6</v>
      </c>
      <c r="S365" s="28">
        <v>500</v>
      </c>
      <c r="T365" s="23">
        <f>EDProj[[#This Row],[★ Ballot Cards]]/250</f>
        <v>2</v>
      </c>
      <c r="U365" s="38">
        <f>EDProj[[#This Row],[★ Soft Case (ADA) Voting Machines]]+EDProj[[#This Row],[Old EPB Allocation]]</f>
        <v>5</v>
      </c>
      <c r="V365" s="38">
        <f>EDProj[[#This Row],[Tables Needed]]</f>
        <v>5</v>
      </c>
      <c r="W365" s="27">
        <v>6</v>
      </c>
      <c r="X365" s="27">
        <v>20</v>
      </c>
      <c r="Y365" s="23">
        <f>ROUNDUP(IF(EDProj[[#This Row],[Tables Needed]]-EDProj[[#This Row],[Tables Provided by the Vote Center]]&lt;0,0,EDProj[[#This Row],[Tables Needed]]-EDProj[[#This Row],[Tables Provided by the Vote Center]]),0)</f>
        <v>0</v>
      </c>
      <c r="Z365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366" spans="1:26" ht="13.9">
      <c r="A366" s="23" t="s">
        <v>294</v>
      </c>
      <c r="B366" s="24" t="s">
        <v>295</v>
      </c>
      <c r="C366" s="73" t="s">
        <v>904</v>
      </c>
      <c r="D366" s="25" t="s">
        <v>947</v>
      </c>
      <c r="E366" s="26" t="s">
        <v>948</v>
      </c>
      <c r="F366" s="92">
        <v>164</v>
      </c>
      <c r="G366" s="27">
        <v>4</v>
      </c>
      <c r="H366" s="27">
        <v>4</v>
      </c>
      <c r="I366" s="27">
        <v>3</v>
      </c>
      <c r="J366" s="27">
        <v>1</v>
      </c>
      <c r="K366" s="27">
        <v>0</v>
      </c>
      <c r="L366" s="27">
        <v>0</v>
      </c>
      <c r="M366" s="23">
        <f>SUM(EDProj[[#This Row],[★ Hard Case Voting Machines]:[★ Curbside (Rollie) Voting Machine]])</f>
        <v>4</v>
      </c>
      <c r="N366" s="23">
        <v>1</v>
      </c>
      <c r="O366" s="27">
        <v>4</v>
      </c>
      <c r="P366" s="27">
        <v>1</v>
      </c>
      <c r="Q366" s="23">
        <v>1</v>
      </c>
      <c r="R366" s="27">
        <f>EDProj[[#This Row],[★ Judge]]+EDProj[[#This Row],[★ Alt Judge]]+EDProj[[#This Row],[★ Clerks]]</f>
        <v>6</v>
      </c>
      <c r="S366" s="28">
        <v>500</v>
      </c>
      <c r="T366" s="23">
        <f>EDProj[[#This Row],[★ Ballot Cards]]/250</f>
        <v>2</v>
      </c>
      <c r="U366" s="38">
        <f>EDProj[[#This Row],[★ Soft Case (ADA) Voting Machines]]+EDProj[[#This Row],[Old EPB Allocation]]</f>
        <v>5</v>
      </c>
      <c r="V366" s="38">
        <f>EDProj[[#This Row],[Tables Needed]]</f>
        <v>5</v>
      </c>
      <c r="W366" s="27">
        <v>10</v>
      </c>
      <c r="X366" s="27">
        <v>20</v>
      </c>
      <c r="Y366" s="23">
        <f>ROUNDUP(IF(EDProj[[#This Row],[Tables Needed]]-EDProj[[#This Row],[Tables Provided by the Vote Center]]&lt;0,0,EDProj[[#This Row],[Tables Needed]]-EDProj[[#This Row],[Tables Provided by the Vote Center]]),0)</f>
        <v>0</v>
      </c>
      <c r="Z366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367" spans="1:26" ht="13.9">
      <c r="A367" s="23" t="s">
        <v>294</v>
      </c>
      <c r="B367" s="24" t="s">
        <v>295</v>
      </c>
      <c r="C367" s="73" t="s">
        <v>904</v>
      </c>
      <c r="D367" s="30" t="s">
        <v>949</v>
      </c>
      <c r="E367" s="31" t="s">
        <v>950</v>
      </c>
      <c r="F367" s="93">
        <v>145</v>
      </c>
      <c r="G367" s="27">
        <v>4</v>
      </c>
      <c r="H367" s="27">
        <v>4</v>
      </c>
      <c r="I367" s="27">
        <v>2</v>
      </c>
      <c r="J367" s="27">
        <v>1</v>
      </c>
      <c r="K367" s="27">
        <v>0</v>
      </c>
      <c r="L367" s="27">
        <v>0</v>
      </c>
      <c r="M367" s="23">
        <f>SUM(EDProj[[#This Row],[★ Hard Case Voting Machines]:[★ Curbside (Rollie) Voting Machine]])</f>
        <v>3</v>
      </c>
      <c r="N367" s="23">
        <v>1</v>
      </c>
      <c r="O367" s="27">
        <v>4</v>
      </c>
      <c r="P367" s="27">
        <v>1</v>
      </c>
      <c r="Q367" s="23">
        <v>1</v>
      </c>
      <c r="R367" s="27">
        <f>EDProj[[#This Row],[★ Judge]]+EDProj[[#This Row],[★ Alt Judge]]+EDProj[[#This Row],[★ Clerks]]</f>
        <v>6</v>
      </c>
      <c r="S367" s="28">
        <v>500</v>
      </c>
      <c r="T367" s="23">
        <f>EDProj[[#This Row],[★ Ballot Cards]]/250</f>
        <v>2</v>
      </c>
      <c r="U367" s="38">
        <f>EDProj[[#This Row],[★ Soft Case (ADA) Voting Machines]]+EDProj[[#This Row],[Old EPB Allocation]]</f>
        <v>5</v>
      </c>
      <c r="V367" s="38">
        <f>EDProj[[#This Row],[Tables Needed]]</f>
        <v>5</v>
      </c>
      <c r="W367" s="27">
        <v>5</v>
      </c>
      <c r="X367" s="27">
        <v>10</v>
      </c>
      <c r="Y367" s="23">
        <f>ROUNDUP(IF(EDProj[[#This Row],[Tables Needed]]-EDProj[[#This Row],[Tables Provided by the Vote Center]]&lt;0,0,EDProj[[#This Row],[Tables Needed]]-EDProj[[#This Row],[Tables Provided by the Vote Center]]),0)</f>
        <v>0</v>
      </c>
      <c r="Z367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368" spans="1:26" ht="13.9">
      <c r="A368" s="23" t="s">
        <v>113</v>
      </c>
      <c r="B368" s="24" t="s">
        <v>136</v>
      </c>
      <c r="C368" s="73" t="s">
        <v>904</v>
      </c>
      <c r="D368" s="25" t="s">
        <v>135</v>
      </c>
      <c r="E368" s="26" t="s">
        <v>137</v>
      </c>
      <c r="F368" s="92">
        <v>490</v>
      </c>
      <c r="G368" s="27">
        <v>4</v>
      </c>
      <c r="H368" s="27">
        <v>4</v>
      </c>
      <c r="I368" s="27">
        <v>8</v>
      </c>
      <c r="J368" s="27">
        <v>1</v>
      </c>
      <c r="K368" s="27">
        <v>1</v>
      </c>
      <c r="L368" s="27">
        <v>1</v>
      </c>
      <c r="M368" s="23">
        <f>SUM(EDProj[[#This Row],[★ Hard Case Voting Machines]:[★ Curbside (Rollie) Voting Machine]])</f>
        <v>11</v>
      </c>
      <c r="N368" s="23">
        <v>1</v>
      </c>
      <c r="O368" s="27">
        <v>5</v>
      </c>
      <c r="P368" s="27">
        <v>1</v>
      </c>
      <c r="Q368" s="23">
        <v>1</v>
      </c>
      <c r="R368" s="27">
        <f>EDProj[[#This Row],[★ Judge]]+EDProj[[#This Row],[★ Alt Judge]]+EDProj[[#This Row],[★ Clerks]]</f>
        <v>7</v>
      </c>
      <c r="S368" s="28">
        <v>500</v>
      </c>
      <c r="T368" s="23">
        <f>EDProj[[#This Row],[★ Ballot Cards]]/250</f>
        <v>2</v>
      </c>
      <c r="U368" s="38">
        <f>EDProj[[#This Row],[★ Soft Case (ADA) Voting Machines]]+EDProj[[#This Row],[Old EPB Allocation]]</f>
        <v>5</v>
      </c>
      <c r="V368" s="38">
        <f>EDProj[[#This Row],[Tables Needed]]</f>
        <v>5</v>
      </c>
      <c r="W368" s="27">
        <v>15</v>
      </c>
      <c r="X368" s="27">
        <v>26</v>
      </c>
      <c r="Y368" s="23">
        <f>ROUNDUP(IF(EDProj[[#This Row],[Tables Needed]]-EDProj[[#This Row],[Tables Provided by the Vote Center]]&lt;0,0,EDProj[[#This Row],[Tables Needed]]-EDProj[[#This Row],[Tables Provided by the Vote Center]]),0)</f>
        <v>0</v>
      </c>
      <c r="Z368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369" spans="1:26" ht="13.9">
      <c r="A369" s="23" t="s">
        <v>113</v>
      </c>
      <c r="B369" s="24" t="s">
        <v>193</v>
      </c>
      <c r="C369" s="73" t="s">
        <v>904</v>
      </c>
      <c r="D369" s="25" t="s">
        <v>192</v>
      </c>
      <c r="E369" s="26" t="s">
        <v>194</v>
      </c>
      <c r="F369" s="92">
        <v>908</v>
      </c>
      <c r="G369" s="27">
        <v>4.5</v>
      </c>
      <c r="H369" s="27">
        <v>6</v>
      </c>
      <c r="I369" s="27">
        <v>11</v>
      </c>
      <c r="J369" s="27">
        <v>1</v>
      </c>
      <c r="K369" s="27">
        <v>1</v>
      </c>
      <c r="L369" s="27">
        <v>1</v>
      </c>
      <c r="M369" s="23">
        <f>SUM(EDProj[[#This Row],[★ Hard Case Voting Machines]:[★ Curbside (Rollie) Voting Machine]])</f>
        <v>14</v>
      </c>
      <c r="N369" s="23">
        <v>1</v>
      </c>
      <c r="O369" s="27">
        <v>8</v>
      </c>
      <c r="P369" s="27">
        <v>1</v>
      </c>
      <c r="Q369" s="23">
        <v>1</v>
      </c>
      <c r="R369" s="27">
        <f>EDProj[[#This Row],[★ Judge]]+EDProj[[#This Row],[★ Alt Judge]]+EDProj[[#This Row],[★ Clerks]]</f>
        <v>10</v>
      </c>
      <c r="S369" s="28">
        <v>1500</v>
      </c>
      <c r="T369" s="23">
        <f>EDProj[[#This Row],[★ Ballot Cards]]/250</f>
        <v>6</v>
      </c>
      <c r="U369" s="38">
        <f>EDProj[[#This Row],[★ Soft Case (ADA) Voting Machines]]+EDProj[[#This Row],[Old EPB Allocation]]</f>
        <v>5.5</v>
      </c>
      <c r="V369" s="38">
        <f>EDProj[[#This Row],[Tables Needed]]</f>
        <v>5.5</v>
      </c>
      <c r="W369" s="27">
        <v>0</v>
      </c>
      <c r="X369" s="27">
        <v>0</v>
      </c>
      <c r="Y369" s="23">
        <f>ROUNDUP(IF(EDProj[[#This Row],[Tables Needed]]-EDProj[[#This Row],[Tables Provided by the Vote Center]]&lt;0,0,EDProj[[#This Row],[Tables Needed]]-EDProj[[#This Row],[Tables Provided by the Vote Center]]),0)</f>
        <v>6</v>
      </c>
      <c r="Z369" s="23">
        <f>ROUNDUP(IF(EDProj[[#This Row],[Chairs Needed]]-EDProj[[#This Row],[Chairs Provided by the Vote Center]]&lt;0,0,EDProj[[#This Row],[Chairs Needed]]-EDProj[[#This Row],[Chairs Provided by the Vote Center]]),0)</f>
        <v>6</v>
      </c>
    </row>
    <row r="370" spans="1:26" ht="13.9">
      <c r="A370" s="23" t="s">
        <v>294</v>
      </c>
      <c r="B370" s="24" t="s">
        <v>295</v>
      </c>
      <c r="C370" s="73" t="s">
        <v>904</v>
      </c>
      <c r="D370" s="30" t="s">
        <v>951</v>
      </c>
      <c r="E370" s="31" t="s">
        <v>952</v>
      </c>
      <c r="F370" s="93">
        <v>62</v>
      </c>
      <c r="G370" s="27">
        <v>4</v>
      </c>
      <c r="H370" s="27">
        <v>4</v>
      </c>
      <c r="I370" s="27">
        <v>2</v>
      </c>
      <c r="J370" s="27">
        <v>1</v>
      </c>
      <c r="K370" s="27">
        <v>0</v>
      </c>
      <c r="L370" s="27">
        <v>0</v>
      </c>
      <c r="M370" s="23">
        <f>SUM(EDProj[[#This Row],[★ Hard Case Voting Machines]:[★ Curbside (Rollie) Voting Machine]])</f>
        <v>3</v>
      </c>
      <c r="N370" s="23">
        <v>1</v>
      </c>
      <c r="O370" s="27">
        <v>4</v>
      </c>
      <c r="P370" s="27">
        <v>1</v>
      </c>
      <c r="Q370" s="23">
        <v>1</v>
      </c>
      <c r="R370" s="27">
        <f>EDProj[[#This Row],[★ Judge]]+EDProj[[#This Row],[★ Alt Judge]]+EDProj[[#This Row],[★ Clerks]]</f>
        <v>6</v>
      </c>
      <c r="S370" s="28">
        <v>500</v>
      </c>
      <c r="T370" s="23">
        <f>EDProj[[#This Row],[★ Ballot Cards]]/250</f>
        <v>2</v>
      </c>
      <c r="U370" s="38">
        <f>EDProj[[#This Row],[★ Soft Case (ADA) Voting Machines]]+EDProj[[#This Row],[Old EPB Allocation]]</f>
        <v>5</v>
      </c>
      <c r="V370" s="38">
        <f>EDProj[[#This Row],[Tables Needed]]</f>
        <v>5</v>
      </c>
      <c r="W370" s="27">
        <v>0</v>
      </c>
      <c r="X370" s="27">
        <v>0</v>
      </c>
      <c r="Y370" s="23">
        <f>ROUNDUP(IF(EDProj[[#This Row],[Tables Needed]]-EDProj[[#This Row],[Tables Provided by the Vote Center]]&lt;0,0,EDProj[[#This Row],[Tables Needed]]-EDProj[[#This Row],[Tables Provided by the Vote Center]]),0)</f>
        <v>5</v>
      </c>
      <c r="Z370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371" spans="1:26" ht="13.9">
      <c r="A371" s="23" t="s">
        <v>294</v>
      </c>
      <c r="B371" s="24" t="s">
        <v>295</v>
      </c>
      <c r="C371" s="73" t="s">
        <v>904</v>
      </c>
      <c r="D371" s="25" t="s">
        <v>953</v>
      </c>
      <c r="E371" s="26" t="s">
        <v>954</v>
      </c>
      <c r="F371" s="92">
        <v>211</v>
      </c>
      <c r="G371" s="27">
        <v>4</v>
      </c>
      <c r="H371" s="27">
        <v>4</v>
      </c>
      <c r="I371" s="27">
        <v>3</v>
      </c>
      <c r="J371" s="27">
        <v>1</v>
      </c>
      <c r="K371" s="27">
        <v>0</v>
      </c>
      <c r="L371" s="27">
        <v>0</v>
      </c>
      <c r="M371" s="23">
        <f>SUM(EDProj[[#This Row],[★ Hard Case Voting Machines]:[★ Curbside (Rollie) Voting Machine]])</f>
        <v>4</v>
      </c>
      <c r="N371" s="23">
        <v>1</v>
      </c>
      <c r="O371" s="27">
        <v>4</v>
      </c>
      <c r="P371" s="27">
        <v>1</v>
      </c>
      <c r="Q371" s="23">
        <v>1</v>
      </c>
      <c r="R371" s="27">
        <f>EDProj[[#This Row],[★ Judge]]+EDProj[[#This Row],[★ Alt Judge]]+EDProj[[#This Row],[★ Clerks]]</f>
        <v>6</v>
      </c>
      <c r="S371" s="28">
        <v>500</v>
      </c>
      <c r="T371" s="23">
        <f>EDProj[[#This Row],[★ Ballot Cards]]/250</f>
        <v>2</v>
      </c>
      <c r="U371" s="38">
        <f>EDProj[[#This Row],[★ Soft Case (ADA) Voting Machines]]+EDProj[[#This Row],[Old EPB Allocation]]</f>
        <v>5</v>
      </c>
      <c r="V371" s="38">
        <f>EDProj[[#This Row],[Tables Needed]]</f>
        <v>5</v>
      </c>
      <c r="W371" s="27">
        <v>0</v>
      </c>
      <c r="X371" s="27">
        <v>0</v>
      </c>
      <c r="Y371" s="23">
        <f>ROUNDUP(IF(EDProj[[#This Row],[Tables Needed]]-EDProj[[#This Row],[Tables Provided by the Vote Center]]&lt;0,0,EDProj[[#This Row],[Tables Needed]]-EDProj[[#This Row],[Tables Provided by the Vote Center]]),0)</f>
        <v>5</v>
      </c>
      <c r="Z371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372" spans="1:26" ht="13.9">
      <c r="A372" s="23" t="s">
        <v>294</v>
      </c>
      <c r="B372" s="24" t="s">
        <v>295</v>
      </c>
      <c r="C372" s="73" t="s">
        <v>904</v>
      </c>
      <c r="D372" s="25" t="s">
        <v>955</v>
      </c>
      <c r="E372" s="26" t="s">
        <v>956</v>
      </c>
      <c r="F372" s="92">
        <v>181</v>
      </c>
      <c r="G372" s="27">
        <v>4</v>
      </c>
      <c r="H372" s="27">
        <v>4</v>
      </c>
      <c r="I372" s="27">
        <v>3</v>
      </c>
      <c r="J372" s="27">
        <v>1</v>
      </c>
      <c r="K372" s="27">
        <v>0</v>
      </c>
      <c r="L372" s="27">
        <v>0</v>
      </c>
      <c r="M372" s="23">
        <f>SUM(EDProj[[#This Row],[★ Hard Case Voting Machines]:[★ Curbside (Rollie) Voting Machine]])</f>
        <v>4</v>
      </c>
      <c r="N372" s="23">
        <v>1</v>
      </c>
      <c r="O372" s="27">
        <v>4</v>
      </c>
      <c r="P372" s="27">
        <v>1</v>
      </c>
      <c r="Q372" s="23">
        <v>1</v>
      </c>
      <c r="R372" s="27">
        <f>EDProj[[#This Row],[★ Judge]]+EDProj[[#This Row],[★ Alt Judge]]+EDProj[[#This Row],[★ Clerks]]</f>
        <v>6</v>
      </c>
      <c r="S372" s="28">
        <v>500</v>
      </c>
      <c r="T372" s="23">
        <f>EDProj[[#This Row],[★ Ballot Cards]]/250</f>
        <v>2</v>
      </c>
      <c r="U372" s="38">
        <f>EDProj[[#This Row],[★ Soft Case (ADA) Voting Machines]]+EDProj[[#This Row],[Old EPB Allocation]]</f>
        <v>5</v>
      </c>
      <c r="V372" s="38">
        <f>EDProj[[#This Row],[Tables Needed]]</f>
        <v>5</v>
      </c>
      <c r="W372" s="27">
        <v>20</v>
      </c>
      <c r="X372" s="27">
        <v>20</v>
      </c>
      <c r="Y372" s="23">
        <f>ROUNDUP(IF(EDProj[[#This Row],[Tables Needed]]-EDProj[[#This Row],[Tables Provided by the Vote Center]]&lt;0,0,EDProj[[#This Row],[Tables Needed]]-EDProj[[#This Row],[Tables Provided by the Vote Center]]),0)</f>
        <v>0</v>
      </c>
      <c r="Z372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373" spans="1:26" ht="13.9">
      <c r="A373" s="23" t="s">
        <v>113</v>
      </c>
      <c r="B373" s="24" t="s">
        <v>220</v>
      </c>
      <c r="C373" s="73" t="s">
        <v>904</v>
      </c>
      <c r="D373" s="25" t="s">
        <v>219</v>
      </c>
      <c r="E373" s="26" t="s">
        <v>221</v>
      </c>
      <c r="F373" s="92">
        <v>1603</v>
      </c>
      <c r="G373" s="27">
        <v>5.3333333333333339</v>
      </c>
      <c r="H373" s="27">
        <v>6</v>
      </c>
      <c r="I373" s="27">
        <v>17</v>
      </c>
      <c r="J373" s="27">
        <v>1</v>
      </c>
      <c r="K373" s="27">
        <v>2</v>
      </c>
      <c r="L373" s="27">
        <v>0</v>
      </c>
      <c r="M373" s="23">
        <f>SUM(EDProj[[#This Row],[★ Hard Case Voting Machines]:[★ Curbside (Rollie) Voting Machine]])</f>
        <v>20</v>
      </c>
      <c r="N373" s="23">
        <v>1</v>
      </c>
      <c r="O373" s="27">
        <v>10</v>
      </c>
      <c r="P373" s="27">
        <v>1</v>
      </c>
      <c r="Q373" s="23">
        <v>1</v>
      </c>
      <c r="R373" s="27">
        <f>EDProj[[#This Row],[★ Judge]]+EDProj[[#This Row],[★ Alt Judge]]+EDProj[[#This Row],[★ Clerks]]</f>
        <v>12</v>
      </c>
      <c r="S373" s="28">
        <v>2500</v>
      </c>
      <c r="T373" s="23">
        <f>EDProj[[#This Row],[★ Ballot Cards]]/250</f>
        <v>10</v>
      </c>
      <c r="U373" s="38">
        <f>EDProj[[#This Row],[★ Soft Case (ADA) Voting Machines]]+EDProj[[#This Row],[Old EPB Allocation]]</f>
        <v>6.3333333333333339</v>
      </c>
      <c r="V373" s="38">
        <f>EDProj[[#This Row],[Tables Needed]]</f>
        <v>6.3333333333333339</v>
      </c>
      <c r="W373" s="27">
        <v>5</v>
      </c>
      <c r="X373" s="27">
        <v>15</v>
      </c>
      <c r="Y373" s="23">
        <f>ROUNDUP(IF(EDProj[[#This Row],[Tables Needed]]-EDProj[[#This Row],[Tables Provided by the Vote Center]]&lt;0,0,EDProj[[#This Row],[Tables Needed]]-EDProj[[#This Row],[Tables Provided by the Vote Center]]),0)</f>
        <v>2</v>
      </c>
      <c r="Z373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374" spans="1:26" ht="13.9">
      <c r="A374" s="23" t="s">
        <v>113</v>
      </c>
      <c r="B374" s="24" t="s">
        <v>315</v>
      </c>
      <c r="C374" s="73" t="s">
        <v>904</v>
      </c>
      <c r="D374" s="30" t="s">
        <v>314</v>
      </c>
      <c r="E374" s="31" t="s">
        <v>316</v>
      </c>
      <c r="F374" s="93">
        <v>492</v>
      </c>
      <c r="G374" s="27">
        <v>4</v>
      </c>
      <c r="H374" s="27">
        <v>4</v>
      </c>
      <c r="I374" s="27">
        <v>8</v>
      </c>
      <c r="J374" s="27">
        <v>1</v>
      </c>
      <c r="K374" s="27">
        <v>1</v>
      </c>
      <c r="L374" s="27">
        <v>1</v>
      </c>
      <c r="M374" s="23">
        <f>SUM(EDProj[[#This Row],[★ Hard Case Voting Machines]:[★ Curbside (Rollie) Voting Machine]])</f>
        <v>11</v>
      </c>
      <c r="N374" s="23">
        <v>1</v>
      </c>
      <c r="O374" s="27">
        <v>6</v>
      </c>
      <c r="P374" s="27">
        <v>1</v>
      </c>
      <c r="Q374" s="23">
        <v>1</v>
      </c>
      <c r="R374" s="27">
        <f>EDProj[[#This Row],[★ Judge]]+EDProj[[#This Row],[★ Alt Judge]]+EDProj[[#This Row],[★ Clerks]]</f>
        <v>8</v>
      </c>
      <c r="S374" s="28">
        <v>1000</v>
      </c>
      <c r="T374" s="23">
        <f>EDProj[[#This Row],[★ Ballot Cards]]/250</f>
        <v>4</v>
      </c>
      <c r="U374" s="38">
        <f>EDProj[[#This Row],[★ Soft Case (ADA) Voting Machines]]+EDProj[[#This Row],[Old EPB Allocation]]</f>
        <v>5</v>
      </c>
      <c r="V374" s="38">
        <f>EDProj[[#This Row],[Tables Needed]]</f>
        <v>5</v>
      </c>
      <c r="W374" s="27">
        <v>0</v>
      </c>
      <c r="X374" s="27">
        <v>25</v>
      </c>
      <c r="Y374" s="23">
        <f>ROUNDUP(IF(EDProj[[#This Row],[Tables Needed]]-EDProj[[#This Row],[Tables Provided by the Vote Center]]&lt;0,0,EDProj[[#This Row],[Tables Needed]]-EDProj[[#This Row],[Tables Provided by the Vote Center]]),0)</f>
        <v>5</v>
      </c>
      <c r="Z374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375" spans="1:26" ht="13.9">
      <c r="A375" s="23" t="s">
        <v>113</v>
      </c>
      <c r="B375" s="24" t="s">
        <v>196</v>
      </c>
      <c r="C375" s="73" t="s">
        <v>904</v>
      </c>
      <c r="D375" s="25" t="s">
        <v>195</v>
      </c>
      <c r="E375" s="26" t="s">
        <v>197</v>
      </c>
      <c r="F375" s="92">
        <v>602</v>
      </c>
      <c r="G375" s="27">
        <v>4</v>
      </c>
      <c r="H375" s="27">
        <v>4</v>
      </c>
      <c r="I375" s="27">
        <v>7</v>
      </c>
      <c r="J375" s="27">
        <v>1</v>
      </c>
      <c r="K375" s="27">
        <v>1</v>
      </c>
      <c r="L375" s="27">
        <v>1</v>
      </c>
      <c r="M375" s="23">
        <f>SUM(EDProj[[#This Row],[★ Hard Case Voting Machines]:[★ Curbside (Rollie) Voting Machine]])</f>
        <v>10</v>
      </c>
      <c r="N375" s="23">
        <v>1</v>
      </c>
      <c r="O375" s="27">
        <v>6</v>
      </c>
      <c r="P375" s="27">
        <v>1</v>
      </c>
      <c r="Q375" s="23">
        <v>1</v>
      </c>
      <c r="R375" s="27">
        <f>EDProj[[#This Row],[★ Judge]]+EDProj[[#This Row],[★ Alt Judge]]+EDProj[[#This Row],[★ Clerks]]</f>
        <v>8</v>
      </c>
      <c r="S375" s="28">
        <v>1000</v>
      </c>
      <c r="T375" s="23">
        <f>EDProj[[#This Row],[★ Ballot Cards]]/250</f>
        <v>4</v>
      </c>
      <c r="U375" s="38">
        <f>EDProj[[#This Row],[★ Soft Case (ADA) Voting Machines]]+EDProj[[#This Row],[Old EPB Allocation]]</f>
        <v>5</v>
      </c>
      <c r="V375" s="38">
        <f>EDProj[[#This Row],[Tables Needed]]</f>
        <v>5</v>
      </c>
      <c r="W375" s="27">
        <v>4</v>
      </c>
      <c r="X375" s="27">
        <v>10</v>
      </c>
      <c r="Y375" s="23">
        <f>ROUNDUP(IF(EDProj[[#This Row],[Tables Needed]]-EDProj[[#This Row],[Tables Provided by the Vote Center]]&lt;0,0,EDProj[[#This Row],[Tables Needed]]-EDProj[[#This Row],[Tables Provided by the Vote Center]]),0)</f>
        <v>1</v>
      </c>
      <c r="Z375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376" spans="1:26" ht="13.9">
      <c r="A376" s="23" t="s">
        <v>294</v>
      </c>
      <c r="B376" s="24" t="s">
        <v>295</v>
      </c>
      <c r="C376" s="73" t="s">
        <v>904</v>
      </c>
      <c r="D376" s="25" t="s">
        <v>957</v>
      </c>
      <c r="E376" s="26" t="s">
        <v>958</v>
      </c>
      <c r="F376" s="92">
        <v>307</v>
      </c>
      <c r="G376" s="27">
        <v>4</v>
      </c>
      <c r="H376" s="27">
        <v>4</v>
      </c>
      <c r="I376" s="27">
        <v>4</v>
      </c>
      <c r="J376" s="27">
        <v>1</v>
      </c>
      <c r="K376" s="27">
        <v>0</v>
      </c>
      <c r="L376" s="27">
        <v>0</v>
      </c>
      <c r="M376" s="23">
        <f>SUM(EDProj[[#This Row],[★ Hard Case Voting Machines]:[★ Curbside (Rollie) Voting Machine]])</f>
        <v>5</v>
      </c>
      <c r="N376" s="23">
        <v>1</v>
      </c>
      <c r="O376" s="27">
        <v>5</v>
      </c>
      <c r="P376" s="27">
        <v>1</v>
      </c>
      <c r="Q376" s="23">
        <v>1</v>
      </c>
      <c r="R376" s="27">
        <f>EDProj[[#This Row],[★ Judge]]+EDProj[[#This Row],[★ Alt Judge]]+EDProj[[#This Row],[★ Clerks]]</f>
        <v>7</v>
      </c>
      <c r="S376" s="28">
        <v>500</v>
      </c>
      <c r="T376" s="23">
        <f>EDProj[[#This Row],[★ Ballot Cards]]/250</f>
        <v>2</v>
      </c>
      <c r="U376" s="38">
        <f>EDProj[[#This Row],[★ Soft Case (ADA) Voting Machines]]+EDProj[[#This Row],[Old EPB Allocation]]</f>
        <v>5</v>
      </c>
      <c r="V376" s="38">
        <f>EDProj[[#This Row],[Tables Needed]]</f>
        <v>5</v>
      </c>
      <c r="W376" s="27">
        <v>0</v>
      </c>
      <c r="X376" s="27">
        <v>0</v>
      </c>
      <c r="Y376" s="23">
        <f>ROUNDUP(IF(EDProj[[#This Row],[Tables Needed]]-EDProj[[#This Row],[Tables Provided by the Vote Center]]&lt;0,0,EDProj[[#This Row],[Tables Needed]]-EDProj[[#This Row],[Tables Provided by the Vote Center]]),0)</f>
        <v>5</v>
      </c>
      <c r="Z376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377" spans="1:26" ht="13.9">
      <c r="A377" s="23" t="s">
        <v>294</v>
      </c>
      <c r="B377" s="24" t="s">
        <v>295</v>
      </c>
      <c r="C377" s="73" t="s">
        <v>904</v>
      </c>
      <c r="D377" s="25" t="s">
        <v>959</v>
      </c>
      <c r="E377" s="26" t="s">
        <v>960</v>
      </c>
      <c r="F377" s="92">
        <v>315</v>
      </c>
      <c r="G377" s="27">
        <v>4</v>
      </c>
      <c r="H377" s="27">
        <v>4</v>
      </c>
      <c r="I377" s="27">
        <v>5</v>
      </c>
      <c r="J377" s="27">
        <v>1</v>
      </c>
      <c r="K377" s="27">
        <v>0</v>
      </c>
      <c r="L377" s="27">
        <v>0</v>
      </c>
      <c r="M377" s="23">
        <f>SUM(EDProj[[#This Row],[★ Hard Case Voting Machines]:[★ Curbside (Rollie) Voting Machine]])</f>
        <v>6</v>
      </c>
      <c r="N377" s="23">
        <v>1</v>
      </c>
      <c r="O377" s="27">
        <v>5</v>
      </c>
      <c r="P377" s="27">
        <v>1</v>
      </c>
      <c r="Q377" s="23">
        <v>1</v>
      </c>
      <c r="R377" s="27">
        <f>EDProj[[#This Row],[★ Judge]]+EDProj[[#This Row],[★ Alt Judge]]+EDProj[[#This Row],[★ Clerks]]</f>
        <v>7</v>
      </c>
      <c r="S377" s="28">
        <v>750</v>
      </c>
      <c r="T377" s="23">
        <f>EDProj[[#This Row],[★ Ballot Cards]]/250</f>
        <v>3</v>
      </c>
      <c r="U377" s="38">
        <f>EDProj[[#This Row],[★ Soft Case (ADA) Voting Machines]]+EDProj[[#This Row],[Old EPB Allocation]]</f>
        <v>5</v>
      </c>
      <c r="V377" s="38">
        <f>EDProj[[#This Row],[Tables Needed]]</f>
        <v>5</v>
      </c>
      <c r="W377" s="27">
        <v>0</v>
      </c>
      <c r="X377" s="27">
        <v>0</v>
      </c>
      <c r="Y377" s="23">
        <f>ROUNDUP(IF(EDProj[[#This Row],[Tables Needed]]-EDProj[[#This Row],[Tables Provided by the Vote Center]]&lt;0,0,EDProj[[#This Row],[Tables Needed]]-EDProj[[#This Row],[Tables Provided by the Vote Center]]),0)</f>
        <v>5</v>
      </c>
      <c r="Z377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378" spans="1:26" ht="13.9">
      <c r="A378" s="23" t="s">
        <v>294</v>
      </c>
      <c r="B378" s="24" t="s">
        <v>295</v>
      </c>
      <c r="C378" s="73" t="s">
        <v>904</v>
      </c>
      <c r="D378" s="30" t="s">
        <v>961</v>
      </c>
      <c r="E378" s="31" t="s">
        <v>962</v>
      </c>
      <c r="F378" s="93">
        <v>147</v>
      </c>
      <c r="G378" s="27">
        <v>4</v>
      </c>
      <c r="H378" s="27">
        <v>4</v>
      </c>
      <c r="I378" s="27">
        <v>2</v>
      </c>
      <c r="J378" s="27">
        <v>1</v>
      </c>
      <c r="K378" s="27">
        <v>0</v>
      </c>
      <c r="L378" s="27">
        <v>0</v>
      </c>
      <c r="M378" s="23">
        <f>SUM(EDProj[[#This Row],[★ Hard Case Voting Machines]:[★ Curbside (Rollie) Voting Machine]])</f>
        <v>3</v>
      </c>
      <c r="N378" s="23">
        <v>1</v>
      </c>
      <c r="O378" s="27">
        <v>4</v>
      </c>
      <c r="P378" s="27">
        <v>1</v>
      </c>
      <c r="Q378" s="23">
        <v>1</v>
      </c>
      <c r="R378" s="27">
        <f>EDProj[[#This Row],[★ Judge]]+EDProj[[#This Row],[★ Alt Judge]]+EDProj[[#This Row],[★ Clerks]]</f>
        <v>6</v>
      </c>
      <c r="S378" s="28">
        <v>500</v>
      </c>
      <c r="T378" s="23">
        <f>EDProj[[#This Row],[★ Ballot Cards]]/250</f>
        <v>2</v>
      </c>
      <c r="U378" s="38">
        <f>EDProj[[#This Row],[★ Soft Case (ADA) Voting Machines]]+EDProj[[#This Row],[Old EPB Allocation]]</f>
        <v>5</v>
      </c>
      <c r="V378" s="38">
        <f>EDProj[[#This Row],[Tables Needed]]</f>
        <v>5</v>
      </c>
      <c r="W378" s="27">
        <v>0</v>
      </c>
      <c r="X378" s="27">
        <v>0</v>
      </c>
      <c r="Y378" s="23">
        <f>ROUNDUP(IF(EDProj[[#This Row],[Tables Needed]]-EDProj[[#This Row],[Tables Provided by the Vote Center]]&lt;0,0,EDProj[[#This Row],[Tables Needed]]-EDProj[[#This Row],[Tables Provided by the Vote Center]]),0)</f>
        <v>5</v>
      </c>
      <c r="Z378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379" spans="1:26" ht="13.9">
      <c r="A379" s="23" t="s">
        <v>294</v>
      </c>
      <c r="B379" s="24" t="s">
        <v>295</v>
      </c>
      <c r="C379" s="73" t="s">
        <v>963</v>
      </c>
      <c r="D379" s="30" t="s">
        <v>964</v>
      </c>
      <c r="E379" s="31" t="s">
        <v>965</v>
      </c>
      <c r="F379" s="93">
        <v>1274</v>
      </c>
      <c r="G379" s="27">
        <v>4</v>
      </c>
      <c r="H379" s="27">
        <v>4</v>
      </c>
      <c r="I379" s="27">
        <v>5</v>
      </c>
      <c r="J379" s="27">
        <v>1</v>
      </c>
      <c r="K379" s="27">
        <v>0</v>
      </c>
      <c r="L379" s="27">
        <v>0</v>
      </c>
      <c r="M379" s="23">
        <f>SUM(EDProj[[#This Row],[★ Hard Case Voting Machines]:[★ Curbside (Rollie) Voting Machine]])</f>
        <v>6</v>
      </c>
      <c r="N379" s="23">
        <v>1</v>
      </c>
      <c r="O379" s="27">
        <v>8</v>
      </c>
      <c r="P379" s="27">
        <v>1</v>
      </c>
      <c r="Q379" s="23">
        <v>1</v>
      </c>
      <c r="R379" s="27">
        <f>EDProj[[#This Row],[★ Judge]]+EDProj[[#This Row],[★ Alt Judge]]+EDProj[[#This Row],[★ Clerks]]</f>
        <v>10</v>
      </c>
      <c r="S379" s="28">
        <v>2250</v>
      </c>
      <c r="T379" s="23">
        <f>EDProj[[#This Row],[★ Ballot Cards]]/250</f>
        <v>9</v>
      </c>
      <c r="U379" s="38">
        <f>EDProj[[#This Row],[★ Soft Case (ADA) Voting Machines]]+EDProj[[#This Row],[Old EPB Allocation]]</f>
        <v>5</v>
      </c>
      <c r="V379" s="38">
        <f>EDProj[[#This Row],[Tables Needed]]</f>
        <v>5</v>
      </c>
      <c r="W379" s="27">
        <v>10</v>
      </c>
      <c r="X379" s="27">
        <v>20</v>
      </c>
      <c r="Y379" s="23">
        <f>ROUNDUP(IF(EDProj[[#This Row],[Tables Needed]]-EDProj[[#This Row],[Tables Provided by the Vote Center]]&lt;0,0,EDProj[[#This Row],[Tables Needed]]-EDProj[[#This Row],[Tables Provided by the Vote Center]]),0)</f>
        <v>0</v>
      </c>
      <c r="Z379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380" spans="1:26" ht="13.9">
      <c r="A380" s="23" t="s">
        <v>294</v>
      </c>
      <c r="B380" s="24" t="s">
        <v>295</v>
      </c>
      <c r="C380" s="73" t="s">
        <v>963</v>
      </c>
      <c r="D380" s="30" t="s">
        <v>966</v>
      </c>
      <c r="E380" s="31" t="s">
        <v>967</v>
      </c>
      <c r="F380" s="93">
        <v>1766</v>
      </c>
      <c r="G380" s="27">
        <v>4</v>
      </c>
      <c r="H380" s="27">
        <v>4</v>
      </c>
      <c r="I380" s="27">
        <v>17</v>
      </c>
      <c r="J380" s="27">
        <v>1</v>
      </c>
      <c r="K380" s="27">
        <v>0</v>
      </c>
      <c r="L380" s="27">
        <v>0</v>
      </c>
      <c r="M380" s="23">
        <f>SUM(EDProj[[#This Row],[★ Hard Case Voting Machines]:[★ Curbside (Rollie) Voting Machine]])</f>
        <v>18</v>
      </c>
      <c r="N380" s="23">
        <v>1</v>
      </c>
      <c r="O380" s="27">
        <v>9</v>
      </c>
      <c r="P380" s="27">
        <v>1</v>
      </c>
      <c r="Q380" s="23">
        <v>1</v>
      </c>
      <c r="R380" s="27">
        <f>EDProj[[#This Row],[★ Judge]]+EDProj[[#This Row],[★ Alt Judge]]+EDProj[[#This Row],[★ Clerks]]</f>
        <v>11</v>
      </c>
      <c r="S380" s="28">
        <v>3000</v>
      </c>
      <c r="T380" s="23">
        <f>EDProj[[#This Row],[★ Ballot Cards]]/250</f>
        <v>12</v>
      </c>
      <c r="U380" s="38">
        <f>EDProj[[#This Row],[★ Soft Case (ADA) Voting Machines]]+EDProj[[#This Row],[Old EPB Allocation]]</f>
        <v>5</v>
      </c>
      <c r="V380" s="38">
        <f>EDProj[[#This Row],[Tables Needed]]</f>
        <v>5</v>
      </c>
      <c r="W380" s="27">
        <v>0</v>
      </c>
      <c r="X380" s="27">
        <v>0</v>
      </c>
      <c r="Y380" s="23">
        <f>ROUNDUP(IF(EDProj[[#This Row],[Tables Needed]]-EDProj[[#This Row],[Tables Provided by the Vote Center]]&lt;0,0,EDProj[[#This Row],[Tables Needed]]-EDProj[[#This Row],[Tables Provided by the Vote Center]]),0)</f>
        <v>5</v>
      </c>
      <c r="Z380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381" spans="1:26" ht="13.9">
      <c r="A381" s="23" t="s">
        <v>113</v>
      </c>
      <c r="B381" s="24" t="s">
        <v>17</v>
      </c>
      <c r="C381" s="73" t="s">
        <v>963</v>
      </c>
      <c r="D381" s="30" t="s">
        <v>19</v>
      </c>
      <c r="E381" s="31" t="s">
        <v>18</v>
      </c>
      <c r="F381" s="93">
        <v>2486</v>
      </c>
      <c r="G381" s="27">
        <v>7</v>
      </c>
      <c r="H381" s="27">
        <v>15</v>
      </c>
      <c r="I381" s="27">
        <v>26</v>
      </c>
      <c r="J381" s="27">
        <v>1</v>
      </c>
      <c r="K381" s="27">
        <v>2</v>
      </c>
      <c r="L381" s="27">
        <v>1</v>
      </c>
      <c r="M381" s="23">
        <f>SUM(EDProj[[#This Row],[★ Hard Case Voting Machines]:[★ Curbside (Rollie) Voting Machine]])</f>
        <v>30</v>
      </c>
      <c r="N381" s="23">
        <v>1</v>
      </c>
      <c r="O381" s="27">
        <v>24</v>
      </c>
      <c r="P381" s="23">
        <v>1</v>
      </c>
      <c r="Q381" s="23">
        <v>1</v>
      </c>
      <c r="R381" s="27">
        <f>EDProj[[#This Row],[★ Judge]]+EDProj[[#This Row],[★ Alt Judge]]+EDProj[[#This Row],[★ Clerks]]</f>
        <v>26</v>
      </c>
      <c r="S381" s="28">
        <v>4000</v>
      </c>
      <c r="T381" s="23">
        <f>EDProj[[#This Row],[★ Ballot Cards]]/250</f>
        <v>16</v>
      </c>
      <c r="U381" s="38">
        <f>EDProj[[#This Row],[★ Soft Case (ADA) Voting Machines]]+EDProj[[#This Row],[Old EPB Allocation]]</f>
        <v>8</v>
      </c>
      <c r="V381" s="38">
        <f>EDProj[[#This Row],[Tables Needed]]</f>
        <v>8</v>
      </c>
      <c r="W381" s="27">
        <v>5</v>
      </c>
      <c r="X381" s="27">
        <v>20</v>
      </c>
      <c r="Y381" s="23">
        <f>ROUNDUP(IF(EDProj[[#This Row],[Tables Needed]]-EDProj[[#This Row],[Tables Provided by the Vote Center]]&lt;0,0,EDProj[[#This Row],[Tables Needed]]-EDProj[[#This Row],[Tables Provided by the Vote Center]]),0)</f>
        <v>3</v>
      </c>
      <c r="Z381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382" spans="1:26" ht="13.9">
      <c r="A382" s="23" t="s">
        <v>113</v>
      </c>
      <c r="B382" s="24" t="s">
        <v>277</v>
      </c>
      <c r="C382" s="73" t="s">
        <v>963</v>
      </c>
      <c r="D382" s="33" t="s">
        <v>276</v>
      </c>
      <c r="E382" s="26" t="s">
        <v>278</v>
      </c>
      <c r="F382" s="92">
        <v>4670</v>
      </c>
      <c r="G382" s="27">
        <v>5</v>
      </c>
      <c r="H382" s="27">
        <v>10</v>
      </c>
      <c r="I382" s="27">
        <v>18</v>
      </c>
      <c r="J382" s="27">
        <v>1</v>
      </c>
      <c r="K382" s="27">
        <v>1</v>
      </c>
      <c r="L382" s="27">
        <v>1</v>
      </c>
      <c r="M382" s="23">
        <f>SUM(EDProj[[#This Row],[★ Hard Case Voting Machines]:[★ Curbside (Rollie) Voting Machine]])</f>
        <v>21</v>
      </c>
      <c r="N382" s="23">
        <v>1</v>
      </c>
      <c r="O382" s="27">
        <v>15</v>
      </c>
      <c r="P382" s="23">
        <v>1</v>
      </c>
      <c r="Q382" s="23">
        <v>1</v>
      </c>
      <c r="R382" s="27">
        <f>EDProj[[#This Row],[★ Judge]]+EDProj[[#This Row],[★ Alt Judge]]+EDProj[[#This Row],[★ Clerks]]</f>
        <v>17</v>
      </c>
      <c r="S382" s="28">
        <v>1750</v>
      </c>
      <c r="T382" s="23">
        <f>EDProj[[#This Row],[★ Ballot Cards]]/250</f>
        <v>7</v>
      </c>
      <c r="U382" s="38">
        <f>EDProj[[#This Row],[★ Soft Case (ADA) Voting Machines]]+EDProj[[#This Row],[Old EPB Allocation]]</f>
        <v>6</v>
      </c>
      <c r="V382" s="38">
        <f>EDProj[[#This Row],[Tables Needed]]</f>
        <v>6</v>
      </c>
      <c r="W382" s="27">
        <v>15</v>
      </c>
      <c r="X382" s="27">
        <v>96</v>
      </c>
      <c r="Y382" s="23">
        <f>ROUNDUP(IF(EDProj[[#This Row],[Tables Needed]]-EDProj[[#This Row],[Tables Provided by the Vote Center]]&lt;0,0,EDProj[[#This Row],[Tables Needed]]-EDProj[[#This Row],[Tables Provided by the Vote Center]]),0)</f>
        <v>0</v>
      </c>
      <c r="Z382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383" spans="1:26" ht="13.9">
      <c r="A383" s="23" t="s">
        <v>294</v>
      </c>
      <c r="B383" s="24" t="s">
        <v>295</v>
      </c>
      <c r="C383" s="73" t="s">
        <v>963</v>
      </c>
      <c r="D383" s="30" t="s">
        <v>968</v>
      </c>
      <c r="E383" s="31" t="s">
        <v>969</v>
      </c>
      <c r="F383" s="93">
        <v>203</v>
      </c>
      <c r="G383" s="27">
        <v>4</v>
      </c>
      <c r="H383" s="27">
        <v>4</v>
      </c>
      <c r="I383" s="27">
        <v>3</v>
      </c>
      <c r="J383" s="27">
        <v>1</v>
      </c>
      <c r="K383" s="27">
        <v>0</v>
      </c>
      <c r="L383" s="27">
        <v>0</v>
      </c>
      <c r="M383" s="23">
        <f>SUM(EDProj[[#This Row],[★ Hard Case Voting Machines]:[★ Curbside (Rollie) Voting Machine]])</f>
        <v>4</v>
      </c>
      <c r="N383" s="23">
        <v>1</v>
      </c>
      <c r="O383" s="27">
        <v>4</v>
      </c>
      <c r="P383" s="27">
        <v>1</v>
      </c>
      <c r="Q383" s="23">
        <v>1</v>
      </c>
      <c r="R383" s="27">
        <f>EDProj[[#This Row],[★ Judge]]+EDProj[[#This Row],[★ Alt Judge]]+EDProj[[#This Row],[★ Clerks]]</f>
        <v>6</v>
      </c>
      <c r="S383" s="28">
        <v>500</v>
      </c>
      <c r="T383" s="23">
        <f>EDProj[[#This Row],[★ Ballot Cards]]/250</f>
        <v>2</v>
      </c>
      <c r="U383" s="38">
        <f>EDProj[[#This Row],[★ Soft Case (ADA) Voting Machines]]+EDProj[[#This Row],[Old EPB Allocation]]</f>
        <v>5</v>
      </c>
      <c r="V383" s="38">
        <f>EDProj[[#This Row],[Tables Needed]]</f>
        <v>5</v>
      </c>
      <c r="W383" s="27">
        <v>0</v>
      </c>
      <c r="X383" s="27">
        <v>0</v>
      </c>
      <c r="Y383" s="23">
        <f>ROUNDUP(IF(EDProj[[#This Row],[Tables Needed]]-EDProj[[#This Row],[Tables Provided by the Vote Center]]&lt;0,0,EDProj[[#This Row],[Tables Needed]]-EDProj[[#This Row],[Tables Provided by the Vote Center]]),0)</f>
        <v>5</v>
      </c>
      <c r="Z383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384" spans="1:26" ht="13.9">
      <c r="A384" s="23" t="s">
        <v>294</v>
      </c>
      <c r="B384" s="24" t="s">
        <v>295</v>
      </c>
      <c r="C384" s="73" t="s">
        <v>963</v>
      </c>
      <c r="D384" s="25" t="s">
        <v>970</v>
      </c>
      <c r="E384" s="26" t="s">
        <v>971</v>
      </c>
      <c r="F384" s="92">
        <v>375</v>
      </c>
      <c r="G384" s="27">
        <v>4</v>
      </c>
      <c r="H384" s="27">
        <v>4</v>
      </c>
      <c r="I384" s="27">
        <v>6</v>
      </c>
      <c r="J384" s="27">
        <v>1</v>
      </c>
      <c r="K384" s="27">
        <v>0</v>
      </c>
      <c r="L384" s="27">
        <v>0</v>
      </c>
      <c r="M384" s="23">
        <f>SUM(EDProj[[#This Row],[★ Hard Case Voting Machines]:[★ Curbside (Rollie) Voting Machine]])</f>
        <v>7</v>
      </c>
      <c r="N384" s="23">
        <v>1</v>
      </c>
      <c r="O384" s="27">
        <v>5</v>
      </c>
      <c r="P384" s="27">
        <v>1</v>
      </c>
      <c r="Q384" s="23">
        <v>1</v>
      </c>
      <c r="R384" s="27">
        <f>EDProj[[#This Row],[★ Judge]]+EDProj[[#This Row],[★ Alt Judge]]+EDProj[[#This Row],[★ Clerks]]</f>
        <v>7</v>
      </c>
      <c r="S384" s="28">
        <v>750</v>
      </c>
      <c r="T384" s="23">
        <f>EDProj[[#This Row],[★ Ballot Cards]]/250</f>
        <v>3</v>
      </c>
      <c r="U384" s="38">
        <f>EDProj[[#This Row],[★ Soft Case (ADA) Voting Machines]]+EDProj[[#This Row],[Old EPB Allocation]]</f>
        <v>5</v>
      </c>
      <c r="V384" s="38">
        <f>EDProj[[#This Row],[Tables Needed]]</f>
        <v>5</v>
      </c>
      <c r="W384" s="27">
        <v>0</v>
      </c>
      <c r="X384" s="27">
        <v>0</v>
      </c>
      <c r="Y384" s="23">
        <f>ROUNDUP(IF(EDProj[[#This Row],[Tables Needed]]-EDProj[[#This Row],[Tables Provided by the Vote Center]]&lt;0,0,EDProj[[#This Row],[Tables Needed]]-EDProj[[#This Row],[Tables Provided by the Vote Center]]),0)</f>
        <v>5</v>
      </c>
      <c r="Z384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385" spans="1:26" ht="13.9">
      <c r="A385" s="23" t="s">
        <v>294</v>
      </c>
      <c r="B385" s="24" t="s">
        <v>295</v>
      </c>
      <c r="C385" s="73" t="s">
        <v>963</v>
      </c>
      <c r="D385" s="25" t="s">
        <v>972</v>
      </c>
      <c r="E385" s="26" t="s">
        <v>973</v>
      </c>
      <c r="F385" s="92">
        <v>647</v>
      </c>
      <c r="G385" s="27">
        <v>4</v>
      </c>
      <c r="H385" s="27">
        <v>4</v>
      </c>
      <c r="I385" s="27">
        <v>7</v>
      </c>
      <c r="J385" s="27">
        <v>1</v>
      </c>
      <c r="K385" s="27">
        <v>0</v>
      </c>
      <c r="L385" s="27">
        <v>0</v>
      </c>
      <c r="M385" s="23">
        <f>SUM(EDProj[[#This Row],[★ Hard Case Voting Machines]:[★ Curbside (Rollie) Voting Machine]])</f>
        <v>8</v>
      </c>
      <c r="N385" s="23">
        <v>1</v>
      </c>
      <c r="O385" s="27">
        <v>6</v>
      </c>
      <c r="P385" s="27">
        <v>1</v>
      </c>
      <c r="Q385" s="23">
        <v>1</v>
      </c>
      <c r="R385" s="27">
        <f>EDProj[[#This Row],[★ Judge]]+EDProj[[#This Row],[★ Alt Judge]]+EDProj[[#This Row],[★ Clerks]]</f>
        <v>8</v>
      </c>
      <c r="S385" s="28">
        <v>1250</v>
      </c>
      <c r="T385" s="23">
        <f>EDProj[[#This Row],[★ Ballot Cards]]/250</f>
        <v>5</v>
      </c>
      <c r="U385" s="38">
        <f>EDProj[[#This Row],[★ Soft Case (ADA) Voting Machines]]+EDProj[[#This Row],[Old EPB Allocation]]</f>
        <v>5</v>
      </c>
      <c r="V385" s="38">
        <f>EDProj[[#This Row],[Tables Needed]]</f>
        <v>5</v>
      </c>
      <c r="W385" s="27">
        <v>12</v>
      </c>
      <c r="X385" s="27">
        <v>20</v>
      </c>
      <c r="Y385" s="23">
        <f>ROUNDUP(IF(EDProj[[#This Row],[Tables Needed]]-EDProj[[#This Row],[Tables Provided by the Vote Center]]&lt;0,0,EDProj[[#This Row],[Tables Needed]]-EDProj[[#This Row],[Tables Provided by the Vote Center]]),0)</f>
        <v>0</v>
      </c>
      <c r="Z385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386" spans="1:26" ht="13.9">
      <c r="A386" s="23" t="s">
        <v>294</v>
      </c>
      <c r="B386" s="24" t="s">
        <v>295</v>
      </c>
      <c r="C386" s="73" t="s">
        <v>963</v>
      </c>
      <c r="D386" s="25" t="s">
        <v>974</v>
      </c>
      <c r="E386" s="26" t="s">
        <v>975</v>
      </c>
      <c r="F386" s="92">
        <v>819</v>
      </c>
      <c r="G386" s="27">
        <v>4</v>
      </c>
      <c r="H386" s="27">
        <v>4</v>
      </c>
      <c r="I386" s="27">
        <v>10</v>
      </c>
      <c r="J386" s="27">
        <v>1</v>
      </c>
      <c r="K386" s="27">
        <v>0</v>
      </c>
      <c r="L386" s="27">
        <v>0</v>
      </c>
      <c r="M386" s="23">
        <f>SUM(EDProj[[#This Row],[★ Hard Case Voting Machines]:[★ Curbside (Rollie) Voting Machine]])</f>
        <v>11</v>
      </c>
      <c r="N386" s="23">
        <v>1</v>
      </c>
      <c r="O386" s="27">
        <v>7</v>
      </c>
      <c r="P386" s="27">
        <v>1</v>
      </c>
      <c r="Q386" s="23">
        <v>1</v>
      </c>
      <c r="R386" s="27">
        <f>EDProj[[#This Row],[★ Judge]]+EDProj[[#This Row],[★ Alt Judge]]+EDProj[[#This Row],[★ Clerks]]</f>
        <v>9</v>
      </c>
      <c r="S386" s="28">
        <v>1500</v>
      </c>
      <c r="T386" s="23">
        <f>EDProj[[#This Row],[★ Ballot Cards]]/250</f>
        <v>6</v>
      </c>
      <c r="U386" s="38">
        <f>EDProj[[#This Row],[★ Soft Case (ADA) Voting Machines]]+EDProj[[#This Row],[Old EPB Allocation]]</f>
        <v>5</v>
      </c>
      <c r="V386" s="38">
        <f>EDProj[[#This Row],[Tables Needed]]</f>
        <v>5</v>
      </c>
      <c r="W386" s="27">
        <v>1</v>
      </c>
      <c r="X386" s="27">
        <v>20</v>
      </c>
      <c r="Y386" s="23">
        <f>ROUNDUP(IF(EDProj[[#This Row],[Tables Needed]]-EDProj[[#This Row],[Tables Provided by the Vote Center]]&lt;0,0,EDProj[[#This Row],[Tables Needed]]-EDProj[[#This Row],[Tables Provided by the Vote Center]]),0)</f>
        <v>4</v>
      </c>
      <c r="Z386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387" spans="1:26" ht="13.9">
      <c r="A387" s="23" t="s">
        <v>294</v>
      </c>
      <c r="B387" s="24" t="s">
        <v>295</v>
      </c>
      <c r="C387" s="73" t="s">
        <v>963</v>
      </c>
      <c r="D387" s="25" t="s">
        <v>976</v>
      </c>
      <c r="E387" s="26" t="s">
        <v>977</v>
      </c>
      <c r="F387" s="92">
        <v>452</v>
      </c>
      <c r="G387" s="27">
        <v>4</v>
      </c>
      <c r="H387" s="27">
        <v>4</v>
      </c>
      <c r="I387" s="27">
        <v>7</v>
      </c>
      <c r="J387" s="27">
        <v>1</v>
      </c>
      <c r="K387" s="27">
        <v>0</v>
      </c>
      <c r="L387" s="27">
        <v>0</v>
      </c>
      <c r="M387" s="23">
        <f>SUM(EDProj[[#This Row],[★ Hard Case Voting Machines]:[★ Curbside (Rollie) Voting Machine]])</f>
        <v>8</v>
      </c>
      <c r="N387" s="23">
        <v>1</v>
      </c>
      <c r="O387" s="27">
        <v>5</v>
      </c>
      <c r="P387" s="27">
        <v>1</v>
      </c>
      <c r="Q387" s="23">
        <v>1</v>
      </c>
      <c r="R387" s="27">
        <f>EDProj[[#This Row],[★ Judge]]+EDProj[[#This Row],[★ Alt Judge]]+EDProj[[#This Row],[★ Clerks]]</f>
        <v>7</v>
      </c>
      <c r="S387" s="28">
        <v>750</v>
      </c>
      <c r="T387" s="23">
        <f>EDProj[[#This Row],[★ Ballot Cards]]/250</f>
        <v>3</v>
      </c>
      <c r="U387" s="38">
        <f>EDProj[[#This Row],[★ Soft Case (ADA) Voting Machines]]+EDProj[[#This Row],[Old EPB Allocation]]</f>
        <v>5</v>
      </c>
      <c r="V387" s="38">
        <f>EDProj[[#This Row],[Tables Needed]]</f>
        <v>5</v>
      </c>
      <c r="W387" s="27">
        <v>0</v>
      </c>
      <c r="X387" s="27">
        <v>0</v>
      </c>
      <c r="Y387" s="23">
        <f>ROUNDUP(IF(EDProj[[#This Row],[Tables Needed]]-EDProj[[#This Row],[Tables Provided by the Vote Center]]&lt;0,0,EDProj[[#This Row],[Tables Needed]]-EDProj[[#This Row],[Tables Provided by the Vote Center]]),0)</f>
        <v>5</v>
      </c>
      <c r="Z387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388" spans="1:26" ht="13.9">
      <c r="A388" s="23" t="s">
        <v>294</v>
      </c>
      <c r="B388" s="24" t="s">
        <v>295</v>
      </c>
      <c r="C388" s="73" t="s">
        <v>963</v>
      </c>
      <c r="D388" s="25" t="s">
        <v>978</v>
      </c>
      <c r="E388" s="26" t="s">
        <v>979</v>
      </c>
      <c r="F388" s="92">
        <v>819</v>
      </c>
      <c r="G388" s="27">
        <v>4</v>
      </c>
      <c r="H388" s="27">
        <v>4</v>
      </c>
      <c r="I388" s="27">
        <v>11</v>
      </c>
      <c r="J388" s="27">
        <v>1</v>
      </c>
      <c r="K388" s="27">
        <v>0</v>
      </c>
      <c r="L388" s="27">
        <v>0</v>
      </c>
      <c r="M388" s="23">
        <f>SUM(EDProj[[#This Row],[★ Hard Case Voting Machines]:[★ Curbside (Rollie) Voting Machine]])</f>
        <v>12</v>
      </c>
      <c r="N388" s="23">
        <v>1</v>
      </c>
      <c r="O388" s="27">
        <v>6</v>
      </c>
      <c r="P388" s="27">
        <v>1</v>
      </c>
      <c r="Q388" s="23">
        <v>1</v>
      </c>
      <c r="R388" s="27">
        <f>EDProj[[#This Row],[★ Judge]]+EDProj[[#This Row],[★ Alt Judge]]+EDProj[[#This Row],[★ Clerks]]</f>
        <v>8</v>
      </c>
      <c r="S388" s="28">
        <v>1500</v>
      </c>
      <c r="T388" s="23">
        <f>EDProj[[#This Row],[★ Ballot Cards]]/250</f>
        <v>6</v>
      </c>
      <c r="U388" s="38">
        <f>EDProj[[#This Row],[★ Soft Case (ADA) Voting Machines]]+EDProj[[#This Row],[Old EPB Allocation]]</f>
        <v>5</v>
      </c>
      <c r="V388" s="38">
        <f>EDProj[[#This Row],[Tables Needed]]</f>
        <v>5</v>
      </c>
      <c r="W388" s="27">
        <v>8</v>
      </c>
      <c r="X388" s="27">
        <v>30</v>
      </c>
      <c r="Y388" s="23">
        <f>ROUNDUP(IF(EDProj[[#This Row],[Tables Needed]]-EDProj[[#This Row],[Tables Provided by the Vote Center]]&lt;0,0,EDProj[[#This Row],[Tables Needed]]-EDProj[[#This Row],[Tables Provided by the Vote Center]]),0)</f>
        <v>0</v>
      </c>
      <c r="Z388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389" spans="1:26" ht="13.9">
      <c r="A389" s="23" t="s">
        <v>294</v>
      </c>
      <c r="B389" s="24" t="s">
        <v>295</v>
      </c>
      <c r="C389" s="73" t="s">
        <v>963</v>
      </c>
      <c r="D389" s="30" t="s">
        <v>980</v>
      </c>
      <c r="E389" s="31" t="s">
        <v>981</v>
      </c>
      <c r="F389" s="93">
        <v>174</v>
      </c>
      <c r="G389" s="27">
        <v>4</v>
      </c>
      <c r="H389" s="27">
        <v>4</v>
      </c>
      <c r="I389" s="27">
        <v>2</v>
      </c>
      <c r="J389" s="27">
        <v>1</v>
      </c>
      <c r="K389" s="27">
        <v>0</v>
      </c>
      <c r="L389" s="27">
        <v>0</v>
      </c>
      <c r="M389" s="23">
        <f>SUM(EDProj[[#This Row],[★ Hard Case Voting Machines]:[★ Curbside (Rollie) Voting Machine]])</f>
        <v>3</v>
      </c>
      <c r="N389" s="23">
        <v>1</v>
      </c>
      <c r="O389" s="27">
        <v>4</v>
      </c>
      <c r="P389" s="27">
        <v>1</v>
      </c>
      <c r="Q389" s="23">
        <v>1</v>
      </c>
      <c r="R389" s="27">
        <f>EDProj[[#This Row],[★ Judge]]+EDProj[[#This Row],[★ Alt Judge]]+EDProj[[#This Row],[★ Clerks]]</f>
        <v>6</v>
      </c>
      <c r="S389" s="28">
        <v>500</v>
      </c>
      <c r="T389" s="23">
        <f>EDProj[[#This Row],[★ Ballot Cards]]/250</f>
        <v>2</v>
      </c>
      <c r="U389" s="38">
        <f>EDProj[[#This Row],[★ Soft Case (ADA) Voting Machines]]+EDProj[[#This Row],[Old EPB Allocation]]</f>
        <v>5</v>
      </c>
      <c r="V389" s="38">
        <f>EDProj[[#This Row],[Tables Needed]]</f>
        <v>5</v>
      </c>
      <c r="W389" s="27">
        <v>0</v>
      </c>
      <c r="X389" s="27">
        <v>0</v>
      </c>
      <c r="Y389" s="23">
        <f>ROUNDUP(IF(EDProj[[#This Row],[Tables Needed]]-EDProj[[#This Row],[Tables Provided by the Vote Center]]&lt;0,0,EDProj[[#This Row],[Tables Needed]]-EDProj[[#This Row],[Tables Provided by the Vote Center]]),0)</f>
        <v>5</v>
      </c>
      <c r="Z389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390" spans="1:26" ht="13.9">
      <c r="A390" s="23" t="s">
        <v>294</v>
      </c>
      <c r="B390" s="24" t="s">
        <v>295</v>
      </c>
      <c r="C390" s="73" t="s">
        <v>963</v>
      </c>
      <c r="D390" s="25" t="s">
        <v>982</v>
      </c>
      <c r="E390" s="26" t="s">
        <v>983</v>
      </c>
      <c r="F390" s="92">
        <v>567</v>
      </c>
      <c r="G390" s="27">
        <v>4</v>
      </c>
      <c r="H390" s="27">
        <v>4</v>
      </c>
      <c r="I390" s="27">
        <v>8</v>
      </c>
      <c r="J390" s="27">
        <v>1</v>
      </c>
      <c r="K390" s="27">
        <v>0</v>
      </c>
      <c r="L390" s="27">
        <v>0</v>
      </c>
      <c r="M390" s="23">
        <f>SUM(EDProj[[#This Row],[★ Hard Case Voting Machines]:[★ Curbside (Rollie) Voting Machine]])</f>
        <v>9</v>
      </c>
      <c r="N390" s="23">
        <v>1</v>
      </c>
      <c r="O390" s="27">
        <v>6</v>
      </c>
      <c r="P390" s="27">
        <v>1</v>
      </c>
      <c r="Q390" s="23">
        <v>1</v>
      </c>
      <c r="R390" s="27">
        <f>EDProj[[#This Row],[★ Judge]]+EDProj[[#This Row],[★ Alt Judge]]+EDProj[[#This Row],[★ Clerks]]</f>
        <v>8</v>
      </c>
      <c r="S390" s="28">
        <v>1000</v>
      </c>
      <c r="T390" s="23">
        <f>EDProj[[#This Row],[★ Ballot Cards]]/250</f>
        <v>4</v>
      </c>
      <c r="U390" s="38">
        <f>EDProj[[#This Row],[★ Soft Case (ADA) Voting Machines]]+EDProj[[#This Row],[Old EPB Allocation]]</f>
        <v>5</v>
      </c>
      <c r="V390" s="38">
        <f>EDProj[[#This Row],[Tables Needed]]</f>
        <v>5</v>
      </c>
      <c r="W390" s="27">
        <v>0</v>
      </c>
      <c r="X390" s="27">
        <v>0</v>
      </c>
      <c r="Y390" s="23">
        <f>ROUNDUP(IF(EDProj[[#This Row],[Tables Needed]]-EDProj[[#This Row],[Tables Provided by the Vote Center]]&lt;0,0,EDProj[[#This Row],[Tables Needed]]-EDProj[[#This Row],[Tables Provided by the Vote Center]]),0)</f>
        <v>5</v>
      </c>
      <c r="Z390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391" spans="1:26" ht="13.9">
      <c r="A391" s="23" t="s">
        <v>294</v>
      </c>
      <c r="B391" s="24" t="s">
        <v>295</v>
      </c>
      <c r="C391" s="73" t="s">
        <v>963</v>
      </c>
      <c r="D391" s="30" t="s">
        <v>984</v>
      </c>
      <c r="E391" s="31" t="s">
        <v>985</v>
      </c>
      <c r="F391" s="93">
        <v>299</v>
      </c>
      <c r="G391" s="27">
        <v>4</v>
      </c>
      <c r="H391" s="27">
        <v>4</v>
      </c>
      <c r="I391" s="27">
        <v>4</v>
      </c>
      <c r="J391" s="27">
        <v>1</v>
      </c>
      <c r="K391" s="27">
        <v>0</v>
      </c>
      <c r="L391" s="27">
        <v>0</v>
      </c>
      <c r="M391" s="23">
        <f>SUM(EDProj[[#This Row],[★ Hard Case Voting Machines]:[★ Curbside (Rollie) Voting Machine]])</f>
        <v>5</v>
      </c>
      <c r="N391" s="23">
        <v>1</v>
      </c>
      <c r="O391" s="27">
        <v>5</v>
      </c>
      <c r="P391" s="27">
        <v>1</v>
      </c>
      <c r="Q391" s="23">
        <v>1</v>
      </c>
      <c r="R391" s="27">
        <f>EDProj[[#This Row],[★ Judge]]+EDProj[[#This Row],[★ Alt Judge]]+EDProj[[#This Row],[★ Clerks]]</f>
        <v>7</v>
      </c>
      <c r="S391" s="28">
        <v>500</v>
      </c>
      <c r="T391" s="23">
        <f>EDProj[[#This Row],[★ Ballot Cards]]/250</f>
        <v>2</v>
      </c>
      <c r="U391" s="38">
        <f>EDProj[[#This Row],[★ Soft Case (ADA) Voting Machines]]+EDProj[[#This Row],[Old EPB Allocation]]</f>
        <v>5</v>
      </c>
      <c r="V391" s="38">
        <f>EDProj[[#This Row],[Tables Needed]]</f>
        <v>5</v>
      </c>
      <c r="W391" s="27">
        <v>0</v>
      </c>
      <c r="X391" s="27">
        <v>0</v>
      </c>
      <c r="Y391" s="23">
        <f>ROUNDUP(IF(EDProj[[#This Row],[Tables Needed]]-EDProj[[#This Row],[Tables Provided by the Vote Center]]&lt;0,0,EDProj[[#This Row],[Tables Needed]]-EDProj[[#This Row],[Tables Provided by the Vote Center]]),0)</f>
        <v>5</v>
      </c>
      <c r="Z391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392" spans="1:26" ht="13.9">
      <c r="A392" s="23" t="s">
        <v>294</v>
      </c>
      <c r="B392" s="24" t="s">
        <v>295</v>
      </c>
      <c r="C392" s="73" t="s">
        <v>963</v>
      </c>
      <c r="D392" s="25" t="s">
        <v>986</v>
      </c>
      <c r="E392" s="26" t="s">
        <v>987</v>
      </c>
      <c r="F392" s="92">
        <v>417</v>
      </c>
      <c r="G392" s="27">
        <v>4</v>
      </c>
      <c r="H392" s="27">
        <v>4</v>
      </c>
      <c r="I392" s="27">
        <v>8</v>
      </c>
      <c r="J392" s="27">
        <v>1</v>
      </c>
      <c r="K392" s="27">
        <v>0</v>
      </c>
      <c r="L392" s="27">
        <v>0</v>
      </c>
      <c r="M392" s="23">
        <f>SUM(EDProj[[#This Row],[★ Hard Case Voting Machines]:[★ Curbside (Rollie) Voting Machine]])</f>
        <v>9</v>
      </c>
      <c r="N392" s="23">
        <v>1</v>
      </c>
      <c r="O392" s="27">
        <v>6</v>
      </c>
      <c r="P392" s="27">
        <v>1</v>
      </c>
      <c r="Q392" s="23">
        <v>1</v>
      </c>
      <c r="R392" s="27">
        <f>EDProj[[#This Row],[★ Judge]]+EDProj[[#This Row],[★ Alt Judge]]+EDProj[[#This Row],[★ Clerks]]</f>
        <v>8</v>
      </c>
      <c r="S392" s="28">
        <v>750</v>
      </c>
      <c r="T392" s="23">
        <f>EDProj[[#This Row],[★ Ballot Cards]]/250</f>
        <v>3</v>
      </c>
      <c r="U392" s="38">
        <f>EDProj[[#This Row],[★ Soft Case (ADA) Voting Machines]]+EDProj[[#This Row],[Old EPB Allocation]]</f>
        <v>5</v>
      </c>
      <c r="V392" s="38">
        <f>EDProj[[#This Row],[Tables Needed]]</f>
        <v>5</v>
      </c>
      <c r="W392" s="27">
        <v>0</v>
      </c>
      <c r="X392" s="27">
        <v>0</v>
      </c>
      <c r="Y392" s="23">
        <f>ROUNDUP(IF(EDProj[[#This Row],[Tables Needed]]-EDProj[[#This Row],[Tables Provided by the Vote Center]]&lt;0,0,EDProj[[#This Row],[Tables Needed]]-EDProj[[#This Row],[Tables Provided by the Vote Center]]),0)</f>
        <v>5</v>
      </c>
      <c r="Z392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393" spans="1:26" ht="13.9">
      <c r="A393" s="23" t="s">
        <v>294</v>
      </c>
      <c r="B393" s="24" t="s">
        <v>295</v>
      </c>
      <c r="C393" s="73" t="s">
        <v>963</v>
      </c>
      <c r="D393" s="30" t="s">
        <v>988</v>
      </c>
      <c r="E393" s="31" t="s">
        <v>989</v>
      </c>
      <c r="F393" s="93">
        <v>660</v>
      </c>
      <c r="G393" s="27">
        <v>4</v>
      </c>
      <c r="H393" s="27">
        <v>4</v>
      </c>
      <c r="I393" s="27">
        <v>9</v>
      </c>
      <c r="J393" s="27">
        <v>1</v>
      </c>
      <c r="K393" s="27">
        <v>0</v>
      </c>
      <c r="L393" s="27">
        <v>0</v>
      </c>
      <c r="M393" s="23">
        <f>SUM(EDProj[[#This Row],[★ Hard Case Voting Machines]:[★ Curbside (Rollie) Voting Machine]])</f>
        <v>10</v>
      </c>
      <c r="N393" s="23">
        <v>1</v>
      </c>
      <c r="O393" s="27">
        <v>6</v>
      </c>
      <c r="P393" s="27">
        <v>1</v>
      </c>
      <c r="Q393" s="23">
        <v>1</v>
      </c>
      <c r="R393" s="27">
        <f>EDProj[[#This Row],[★ Judge]]+EDProj[[#This Row],[★ Alt Judge]]+EDProj[[#This Row],[★ Clerks]]</f>
        <v>8</v>
      </c>
      <c r="S393" s="28">
        <v>1250</v>
      </c>
      <c r="T393" s="23">
        <f>EDProj[[#This Row],[★ Ballot Cards]]/250</f>
        <v>5</v>
      </c>
      <c r="U393" s="38">
        <f>EDProj[[#This Row],[★ Soft Case (ADA) Voting Machines]]+EDProj[[#This Row],[Old EPB Allocation]]</f>
        <v>5</v>
      </c>
      <c r="V393" s="38">
        <f>EDProj[[#This Row],[Tables Needed]]</f>
        <v>5</v>
      </c>
      <c r="W393" s="27">
        <v>0</v>
      </c>
      <c r="X393" s="27">
        <v>10</v>
      </c>
      <c r="Y393" s="23">
        <f>ROUNDUP(IF(EDProj[[#This Row],[Tables Needed]]-EDProj[[#This Row],[Tables Provided by the Vote Center]]&lt;0,0,EDProj[[#This Row],[Tables Needed]]-EDProj[[#This Row],[Tables Provided by the Vote Center]]),0)</f>
        <v>5</v>
      </c>
      <c r="Z393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394" spans="1:26" ht="13.9">
      <c r="A394" s="23" t="s">
        <v>113</v>
      </c>
      <c r="B394" s="24" t="s">
        <v>223</v>
      </c>
      <c r="C394" s="73" t="s">
        <v>963</v>
      </c>
      <c r="D394" s="30" t="s">
        <v>222</v>
      </c>
      <c r="E394" s="31" t="s">
        <v>224</v>
      </c>
      <c r="F394" s="93">
        <v>2236</v>
      </c>
      <c r="G394" s="27">
        <v>6.333333333333333</v>
      </c>
      <c r="H394" s="27">
        <v>9</v>
      </c>
      <c r="I394" s="27">
        <v>23</v>
      </c>
      <c r="J394" s="27">
        <v>1</v>
      </c>
      <c r="K394" s="27">
        <v>2</v>
      </c>
      <c r="L394" s="27">
        <v>1</v>
      </c>
      <c r="M394" s="23">
        <f>SUM(EDProj[[#This Row],[★ Hard Case Voting Machines]:[★ Curbside (Rollie) Voting Machine]])</f>
        <v>27</v>
      </c>
      <c r="N394" s="23">
        <v>1</v>
      </c>
      <c r="O394" s="27">
        <v>15</v>
      </c>
      <c r="P394" s="27">
        <v>1</v>
      </c>
      <c r="Q394" s="23">
        <v>1</v>
      </c>
      <c r="R394" s="27">
        <f>EDProj[[#This Row],[★ Judge]]+EDProj[[#This Row],[★ Alt Judge]]+EDProj[[#This Row],[★ Clerks]]</f>
        <v>17</v>
      </c>
      <c r="S394" s="28">
        <v>3750</v>
      </c>
      <c r="T394" s="23">
        <f>EDProj[[#This Row],[★ Ballot Cards]]/250</f>
        <v>15</v>
      </c>
      <c r="U394" s="38">
        <f>EDProj[[#This Row],[★ Soft Case (ADA) Voting Machines]]+EDProj[[#This Row],[Old EPB Allocation]]</f>
        <v>7.333333333333333</v>
      </c>
      <c r="V394" s="38">
        <f>EDProj[[#This Row],[Tables Needed]]</f>
        <v>7.333333333333333</v>
      </c>
      <c r="W394" s="27">
        <v>0</v>
      </c>
      <c r="X394" s="27">
        <v>0</v>
      </c>
      <c r="Y394" s="23">
        <f>ROUNDUP(IF(EDProj[[#This Row],[Tables Needed]]-EDProj[[#This Row],[Tables Provided by the Vote Center]]&lt;0,0,EDProj[[#This Row],[Tables Needed]]-EDProj[[#This Row],[Tables Provided by the Vote Center]]),0)</f>
        <v>8</v>
      </c>
      <c r="Z394" s="23">
        <f>ROUNDUP(IF(EDProj[[#This Row],[Chairs Needed]]-EDProj[[#This Row],[Chairs Provided by the Vote Center]]&lt;0,0,EDProj[[#This Row],[Chairs Needed]]-EDProj[[#This Row],[Chairs Provided by the Vote Center]]),0)</f>
        <v>8</v>
      </c>
    </row>
    <row r="395" spans="1:26" ht="13.9">
      <c r="A395" s="23" t="s">
        <v>294</v>
      </c>
      <c r="B395" s="24" t="s">
        <v>295</v>
      </c>
      <c r="C395" s="73" t="s">
        <v>963</v>
      </c>
      <c r="D395" s="30" t="s">
        <v>990</v>
      </c>
      <c r="E395" s="31" t="s">
        <v>991</v>
      </c>
      <c r="F395" s="93">
        <v>229</v>
      </c>
      <c r="G395" s="27">
        <v>4</v>
      </c>
      <c r="H395" s="27">
        <v>4</v>
      </c>
      <c r="I395" s="27">
        <v>3</v>
      </c>
      <c r="J395" s="27">
        <v>1</v>
      </c>
      <c r="K395" s="27">
        <v>0</v>
      </c>
      <c r="L395" s="27">
        <v>0</v>
      </c>
      <c r="M395" s="23">
        <f>SUM(EDProj[[#This Row],[★ Hard Case Voting Machines]:[★ Curbside (Rollie) Voting Machine]])</f>
        <v>4</v>
      </c>
      <c r="N395" s="23">
        <v>1</v>
      </c>
      <c r="O395" s="27">
        <v>4</v>
      </c>
      <c r="P395" s="27">
        <v>1</v>
      </c>
      <c r="Q395" s="23">
        <v>1</v>
      </c>
      <c r="R395" s="27">
        <f>EDProj[[#This Row],[★ Judge]]+EDProj[[#This Row],[★ Alt Judge]]+EDProj[[#This Row],[★ Clerks]]</f>
        <v>6</v>
      </c>
      <c r="S395" s="28">
        <v>500</v>
      </c>
      <c r="T395" s="23">
        <f>EDProj[[#This Row],[★ Ballot Cards]]/250</f>
        <v>2</v>
      </c>
      <c r="U395" s="38">
        <f>EDProj[[#This Row],[★ Soft Case (ADA) Voting Machines]]+EDProj[[#This Row],[Old EPB Allocation]]</f>
        <v>5</v>
      </c>
      <c r="V395" s="38">
        <f>EDProj[[#This Row],[Tables Needed]]</f>
        <v>5</v>
      </c>
      <c r="W395" s="27">
        <v>0</v>
      </c>
      <c r="X395" s="27">
        <v>0</v>
      </c>
      <c r="Y395" s="23">
        <f>ROUNDUP(IF(EDProj[[#This Row],[Tables Needed]]-EDProj[[#This Row],[Tables Provided by the Vote Center]]&lt;0,0,EDProj[[#This Row],[Tables Needed]]-EDProj[[#This Row],[Tables Provided by the Vote Center]]),0)</f>
        <v>5</v>
      </c>
      <c r="Z395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396" spans="1:26" ht="13.9">
      <c r="A396" s="23" t="s">
        <v>294</v>
      </c>
      <c r="B396" s="24" t="s">
        <v>295</v>
      </c>
      <c r="C396" s="73" t="s">
        <v>963</v>
      </c>
      <c r="D396" s="30" t="s">
        <v>992</v>
      </c>
      <c r="E396" s="31" t="s">
        <v>993</v>
      </c>
      <c r="F396" s="93">
        <v>288</v>
      </c>
      <c r="G396" s="27">
        <v>4</v>
      </c>
      <c r="H396" s="27">
        <v>4</v>
      </c>
      <c r="I396" s="27">
        <v>4</v>
      </c>
      <c r="J396" s="27">
        <v>1</v>
      </c>
      <c r="K396" s="27">
        <v>0</v>
      </c>
      <c r="L396" s="27">
        <v>0</v>
      </c>
      <c r="M396" s="23">
        <f>SUM(EDProj[[#This Row],[★ Hard Case Voting Machines]:[★ Curbside (Rollie) Voting Machine]])</f>
        <v>5</v>
      </c>
      <c r="N396" s="23">
        <v>1</v>
      </c>
      <c r="O396" s="27">
        <v>5</v>
      </c>
      <c r="P396" s="27">
        <v>1</v>
      </c>
      <c r="Q396" s="23">
        <v>1</v>
      </c>
      <c r="R396" s="27">
        <f>EDProj[[#This Row],[★ Judge]]+EDProj[[#This Row],[★ Alt Judge]]+EDProj[[#This Row],[★ Clerks]]</f>
        <v>7</v>
      </c>
      <c r="S396" s="28">
        <v>500</v>
      </c>
      <c r="T396" s="23">
        <f>EDProj[[#This Row],[★ Ballot Cards]]/250</f>
        <v>2</v>
      </c>
      <c r="U396" s="38">
        <f>EDProj[[#This Row],[★ Soft Case (ADA) Voting Machines]]+EDProj[[#This Row],[Old EPB Allocation]]</f>
        <v>5</v>
      </c>
      <c r="V396" s="38">
        <f>EDProj[[#This Row],[Tables Needed]]</f>
        <v>5</v>
      </c>
      <c r="W396" s="27">
        <v>0</v>
      </c>
      <c r="X396" s="27">
        <v>0</v>
      </c>
      <c r="Y396" s="23">
        <f>ROUNDUP(IF(EDProj[[#This Row],[Tables Needed]]-EDProj[[#This Row],[Tables Provided by the Vote Center]]&lt;0,0,EDProj[[#This Row],[Tables Needed]]-EDProj[[#This Row],[Tables Provided by the Vote Center]]),0)</f>
        <v>5</v>
      </c>
      <c r="Z396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397" spans="1:26" ht="13.9">
      <c r="A397" s="23" t="s">
        <v>294</v>
      </c>
      <c r="B397" s="24" t="s">
        <v>295</v>
      </c>
      <c r="C397" s="73" t="s">
        <v>963</v>
      </c>
      <c r="D397" s="25" t="s">
        <v>994</v>
      </c>
      <c r="E397" s="26" t="s">
        <v>995</v>
      </c>
      <c r="F397" s="92">
        <v>447</v>
      </c>
      <c r="G397" s="27">
        <v>4</v>
      </c>
      <c r="H397" s="27">
        <v>4</v>
      </c>
      <c r="I397" s="27">
        <v>7</v>
      </c>
      <c r="J397" s="27">
        <v>1</v>
      </c>
      <c r="K397" s="27">
        <v>0</v>
      </c>
      <c r="L397" s="27">
        <v>0</v>
      </c>
      <c r="M397" s="23">
        <f>SUM(EDProj[[#This Row],[★ Hard Case Voting Machines]:[★ Curbside (Rollie) Voting Machine]])</f>
        <v>8</v>
      </c>
      <c r="N397" s="23">
        <v>1</v>
      </c>
      <c r="O397" s="27">
        <v>5</v>
      </c>
      <c r="P397" s="27">
        <v>1</v>
      </c>
      <c r="Q397" s="23">
        <v>1</v>
      </c>
      <c r="R397" s="27">
        <f>EDProj[[#This Row],[★ Judge]]+EDProj[[#This Row],[★ Alt Judge]]+EDProj[[#This Row],[★ Clerks]]</f>
        <v>7</v>
      </c>
      <c r="S397" s="28">
        <v>750</v>
      </c>
      <c r="T397" s="23">
        <f>EDProj[[#This Row],[★ Ballot Cards]]/250</f>
        <v>3</v>
      </c>
      <c r="U397" s="38">
        <f>EDProj[[#This Row],[★ Soft Case (ADA) Voting Machines]]+EDProj[[#This Row],[Old EPB Allocation]]</f>
        <v>5</v>
      </c>
      <c r="V397" s="38">
        <f>EDProj[[#This Row],[Tables Needed]]</f>
        <v>5</v>
      </c>
      <c r="W397" s="27">
        <v>12</v>
      </c>
      <c r="X397" s="27">
        <v>50</v>
      </c>
      <c r="Y397" s="23">
        <f>ROUNDUP(IF(EDProj[[#This Row],[Tables Needed]]-EDProj[[#This Row],[Tables Provided by the Vote Center]]&lt;0,0,EDProj[[#This Row],[Tables Needed]]-EDProj[[#This Row],[Tables Provided by the Vote Center]]),0)</f>
        <v>0</v>
      </c>
      <c r="Z397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398" spans="1:26" ht="13.9">
      <c r="A398" s="23" t="s">
        <v>294</v>
      </c>
      <c r="B398" s="24" t="s">
        <v>295</v>
      </c>
      <c r="C398" s="73" t="s">
        <v>963</v>
      </c>
      <c r="D398" s="30" t="s">
        <v>996</v>
      </c>
      <c r="E398" s="31" t="s">
        <v>997</v>
      </c>
      <c r="F398" s="93">
        <v>463</v>
      </c>
      <c r="G398" s="27">
        <v>4</v>
      </c>
      <c r="H398" s="27">
        <v>4</v>
      </c>
      <c r="I398" s="27">
        <v>7</v>
      </c>
      <c r="J398" s="27">
        <v>1</v>
      </c>
      <c r="K398" s="27">
        <v>0</v>
      </c>
      <c r="L398" s="27">
        <v>0</v>
      </c>
      <c r="M398" s="23">
        <f>SUM(EDProj[[#This Row],[★ Hard Case Voting Machines]:[★ Curbside (Rollie) Voting Machine]])</f>
        <v>8</v>
      </c>
      <c r="N398" s="23">
        <v>1</v>
      </c>
      <c r="O398" s="27">
        <v>5</v>
      </c>
      <c r="P398" s="27">
        <v>1</v>
      </c>
      <c r="Q398" s="23">
        <v>1</v>
      </c>
      <c r="R398" s="27">
        <f>EDProj[[#This Row],[★ Judge]]+EDProj[[#This Row],[★ Alt Judge]]+EDProj[[#This Row],[★ Clerks]]</f>
        <v>7</v>
      </c>
      <c r="S398" s="28">
        <v>750</v>
      </c>
      <c r="T398" s="23">
        <f>EDProj[[#This Row],[★ Ballot Cards]]/250</f>
        <v>3</v>
      </c>
      <c r="U398" s="38">
        <f>EDProj[[#This Row],[★ Soft Case (ADA) Voting Machines]]+EDProj[[#This Row],[Old EPB Allocation]]</f>
        <v>5</v>
      </c>
      <c r="V398" s="38">
        <f>EDProj[[#This Row],[Tables Needed]]</f>
        <v>5</v>
      </c>
      <c r="W398" s="27">
        <v>0</v>
      </c>
      <c r="X398" s="27">
        <v>0</v>
      </c>
      <c r="Y398" s="23">
        <f>ROUNDUP(IF(EDProj[[#This Row],[Tables Needed]]-EDProj[[#This Row],[Tables Provided by the Vote Center]]&lt;0,0,EDProj[[#This Row],[Tables Needed]]-EDProj[[#This Row],[Tables Provided by the Vote Center]]),0)</f>
        <v>5</v>
      </c>
      <c r="Z398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399" spans="1:26" ht="13.9">
      <c r="A399" s="23" t="s">
        <v>294</v>
      </c>
      <c r="B399" s="24" t="s">
        <v>295</v>
      </c>
      <c r="C399" s="73" t="s">
        <v>963</v>
      </c>
      <c r="D399" s="25" t="s">
        <v>998</v>
      </c>
      <c r="E399" s="26" t="s">
        <v>999</v>
      </c>
      <c r="F399" s="92">
        <v>499</v>
      </c>
      <c r="G399" s="27">
        <v>4</v>
      </c>
      <c r="H399" s="27">
        <v>4</v>
      </c>
      <c r="I399" s="27">
        <v>6</v>
      </c>
      <c r="J399" s="27">
        <v>1</v>
      </c>
      <c r="K399" s="27">
        <v>0</v>
      </c>
      <c r="L399" s="27">
        <v>0</v>
      </c>
      <c r="M399" s="23">
        <f>SUM(EDProj[[#This Row],[★ Hard Case Voting Machines]:[★ Curbside (Rollie) Voting Machine]])</f>
        <v>7</v>
      </c>
      <c r="N399" s="23">
        <v>1</v>
      </c>
      <c r="O399" s="27">
        <v>5</v>
      </c>
      <c r="P399" s="27">
        <v>1</v>
      </c>
      <c r="Q399" s="23">
        <v>1</v>
      </c>
      <c r="R399" s="27">
        <f>EDProj[[#This Row],[★ Judge]]+EDProj[[#This Row],[★ Alt Judge]]+EDProj[[#This Row],[★ Clerks]]</f>
        <v>7</v>
      </c>
      <c r="S399" s="28">
        <v>1000</v>
      </c>
      <c r="T399" s="23">
        <f>EDProj[[#This Row],[★ Ballot Cards]]/250</f>
        <v>4</v>
      </c>
      <c r="U399" s="38">
        <f>EDProj[[#This Row],[★ Soft Case (ADA) Voting Machines]]+EDProj[[#This Row],[Old EPB Allocation]]</f>
        <v>5</v>
      </c>
      <c r="V399" s="38">
        <f>EDProj[[#This Row],[Tables Needed]]</f>
        <v>5</v>
      </c>
      <c r="W399" s="27">
        <v>10</v>
      </c>
      <c r="X399" s="27">
        <v>10</v>
      </c>
      <c r="Y399" s="23">
        <f>ROUNDUP(IF(EDProj[[#This Row],[Tables Needed]]-EDProj[[#This Row],[Tables Provided by the Vote Center]]&lt;0,0,EDProj[[#This Row],[Tables Needed]]-EDProj[[#This Row],[Tables Provided by the Vote Center]]),0)</f>
        <v>0</v>
      </c>
      <c r="Z399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400" spans="1:26" ht="13.9">
      <c r="A400" s="23" t="s">
        <v>294</v>
      </c>
      <c r="B400" s="24" t="s">
        <v>295</v>
      </c>
      <c r="C400" s="73" t="s">
        <v>963</v>
      </c>
      <c r="D400" s="25" t="s">
        <v>1000</v>
      </c>
      <c r="E400" s="26" t="s">
        <v>1001</v>
      </c>
      <c r="F400" s="92">
        <v>516</v>
      </c>
      <c r="G400" s="27">
        <v>4</v>
      </c>
      <c r="H400" s="27">
        <v>4</v>
      </c>
      <c r="I400" s="27">
        <v>8</v>
      </c>
      <c r="J400" s="27">
        <v>1</v>
      </c>
      <c r="K400" s="27">
        <v>0</v>
      </c>
      <c r="L400" s="27">
        <v>0</v>
      </c>
      <c r="M400" s="23">
        <f>SUM(EDProj[[#This Row],[★ Hard Case Voting Machines]:[★ Curbside (Rollie) Voting Machine]])</f>
        <v>9</v>
      </c>
      <c r="N400" s="23">
        <v>1</v>
      </c>
      <c r="O400" s="27">
        <v>6</v>
      </c>
      <c r="P400" s="27">
        <v>1</v>
      </c>
      <c r="Q400" s="23">
        <v>1</v>
      </c>
      <c r="R400" s="27">
        <f>EDProj[[#This Row],[★ Judge]]+EDProj[[#This Row],[★ Alt Judge]]+EDProj[[#This Row],[★ Clerks]]</f>
        <v>8</v>
      </c>
      <c r="S400" s="28">
        <v>1000</v>
      </c>
      <c r="T400" s="23">
        <f>EDProj[[#This Row],[★ Ballot Cards]]/250</f>
        <v>4</v>
      </c>
      <c r="U400" s="38">
        <f>EDProj[[#This Row],[★ Soft Case (ADA) Voting Machines]]+EDProj[[#This Row],[Old EPB Allocation]]</f>
        <v>5</v>
      </c>
      <c r="V400" s="38">
        <f>EDProj[[#This Row],[Tables Needed]]</f>
        <v>5</v>
      </c>
      <c r="W400" s="27">
        <v>4</v>
      </c>
      <c r="X400" s="27">
        <v>50</v>
      </c>
      <c r="Y400" s="23">
        <f>ROUNDUP(IF(EDProj[[#This Row],[Tables Needed]]-EDProj[[#This Row],[Tables Provided by the Vote Center]]&lt;0,0,EDProj[[#This Row],[Tables Needed]]-EDProj[[#This Row],[Tables Provided by the Vote Center]]),0)</f>
        <v>1</v>
      </c>
      <c r="Z400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401" spans="1:26" ht="13.9">
      <c r="A401" s="23" t="s">
        <v>294</v>
      </c>
      <c r="B401" s="24" t="s">
        <v>295</v>
      </c>
      <c r="C401" s="73" t="s">
        <v>963</v>
      </c>
      <c r="D401" s="25" t="s">
        <v>1002</v>
      </c>
      <c r="E401" s="26" t="s">
        <v>1003</v>
      </c>
      <c r="F401" s="92">
        <v>694</v>
      </c>
      <c r="G401" s="27">
        <v>4</v>
      </c>
      <c r="H401" s="27">
        <v>4</v>
      </c>
      <c r="I401" s="27">
        <v>9</v>
      </c>
      <c r="J401" s="27">
        <v>1</v>
      </c>
      <c r="K401" s="27">
        <v>0</v>
      </c>
      <c r="L401" s="27">
        <v>0</v>
      </c>
      <c r="M401" s="23">
        <f>SUM(EDProj[[#This Row],[★ Hard Case Voting Machines]:[★ Curbside (Rollie) Voting Machine]])</f>
        <v>10</v>
      </c>
      <c r="N401" s="23">
        <v>1</v>
      </c>
      <c r="O401" s="27">
        <v>7</v>
      </c>
      <c r="P401" s="27">
        <v>1</v>
      </c>
      <c r="Q401" s="23">
        <v>1</v>
      </c>
      <c r="R401" s="27">
        <f>EDProj[[#This Row],[★ Judge]]+EDProj[[#This Row],[★ Alt Judge]]+EDProj[[#This Row],[★ Clerks]]</f>
        <v>9</v>
      </c>
      <c r="S401" s="28">
        <v>1250</v>
      </c>
      <c r="T401" s="23">
        <f>EDProj[[#This Row],[★ Ballot Cards]]/250</f>
        <v>5</v>
      </c>
      <c r="U401" s="38">
        <f>EDProj[[#This Row],[★ Soft Case (ADA) Voting Machines]]+EDProj[[#This Row],[Old EPB Allocation]]</f>
        <v>5</v>
      </c>
      <c r="V401" s="38">
        <f>EDProj[[#This Row],[Tables Needed]]</f>
        <v>5</v>
      </c>
      <c r="W401" s="27">
        <v>0</v>
      </c>
      <c r="X401" s="27">
        <v>0</v>
      </c>
      <c r="Y401" s="23">
        <f>ROUNDUP(IF(EDProj[[#This Row],[Tables Needed]]-EDProj[[#This Row],[Tables Provided by the Vote Center]]&lt;0,0,EDProj[[#This Row],[Tables Needed]]-EDProj[[#This Row],[Tables Provided by the Vote Center]]),0)</f>
        <v>5</v>
      </c>
      <c r="Z401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402" spans="1:26" ht="13.9">
      <c r="A402" s="23" t="s">
        <v>294</v>
      </c>
      <c r="B402" s="24" t="s">
        <v>295</v>
      </c>
      <c r="C402" s="73" t="s">
        <v>963</v>
      </c>
      <c r="D402" s="25" t="s">
        <v>1004</v>
      </c>
      <c r="E402" s="26" t="s">
        <v>1005</v>
      </c>
      <c r="F402" s="92">
        <v>941</v>
      </c>
      <c r="G402" s="27">
        <v>4</v>
      </c>
      <c r="H402" s="27">
        <v>4</v>
      </c>
      <c r="I402" s="27">
        <v>7</v>
      </c>
      <c r="J402" s="27">
        <v>1</v>
      </c>
      <c r="K402" s="27">
        <v>0</v>
      </c>
      <c r="L402" s="27">
        <v>0</v>
      </c>
      <c r="M402" s="23">
        <f>SUM(EDProj[[#This Row],[★ Hard Case Voting Machines]:[★ Curbside (Rollie) Voting Machine]])</f>
        <v>8</v>
      </c>
      <c r="N402" s="23">
        <v>1</v>
      </c>
      <c r="O402" s="27">
        <v>6</v>
      </c>
      <c r="P402" s="27">
        <v>1</v>
      </c>
      <c r="Q402" s="23">
        <v>1</v>
      </c>
      <c r="R402" s="27">
        <f>EDProj[[#This Row],[★ Judge]]+EDProj[[#This Row],[★ Alt Judge]]+EDProj[[#This Row],[★ Clerks]]</f>
        <v>8</v>
      </c>
      <c r="S402" s="28">
        <v>1750</v>
      </c>
      <c r="T402" s="23">
        <f>EDProj[[#This Row],[★ Ballot Cards]]/250</f>
        <v>7</v>
      </c>
      <c r="U402" s="38">
        <f>EDProj[[#This Row],[★ Soft Case (ADA) Voting Machines]]+EDProj[[#This Row],[Old EPB Allocation]]</f>
        <v>5</v>
      </c>
      <c r="V402" s="38">
        <f>EDProj[[#This Row],[Tables Needed]]</f>
        <v>5</v>
      </c>
      <c r="W402" s="27">
        <v>0</v>
      </c>
      <c r="X402" s="27">
        <v>0</v>
      </c>
      <c r="Y402" s="23">
        <f>ROUNDUP(IF(EDProj[[#This Row],[Tables Needed]]-EDProj[[#This Row],[Tables Provided by the Vote Center]]&lt;0,0,EDProj[[#This Row],[Tables Needed]]-EDProj[[#This Row],[Tables Provided by the Vote Center]]),0)</f>
        <v>5</v>
      </c>
      <c r="Z402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403" spans="1:26" ht="13.9">
      <c r="A403" s="23" t="s">
        <v>113</v>
      </c>
      <c r="B403" s="24" t="s">
        <v>121</v>
      </c>
      <c r="C403" s="73" t="s">
        <v>963</v>
      </c>
      <c r="D403" s="30" t="s">
        <v>120</v>
      </c>
      <c r="E403" s="31" t="s">
        <v>122</v>
      </c>
      <c r="F403" s="93">
        <v>2931</v>
      </c>
      <c r="G403" s="27">
        <v>5.6666666666666661</v>
      </c>
      <c r="H403" s="27">
        <v>7</v>
      </c>
      <c r="I403" s="27">
        <v>19</v>
      </c>
      <c r="J403" s="27">
        <v>1</v>
      </c>
      <c r="K403" s="27">
        <v>2</v>
      </c>
      <c r="L403" s="27">
        <v>1</v>
      </c>
      <c r="M403" s="23">
        <f>SUM(EDProj[[#This Row],[★ Hard Case Voting Machines]:[★ Curbside (Rollie) Voting Machine]])</f>
        <v>23</v>
      </c>
      <c r="N403" s="23">
        <v>1</v>
      </c>
      <c r="O403" s="27">
        <v>14</v>
      </c>
      <c r="P403" s="27">
        <v>1</v>
      </c>
      <c r="Q403" s="23">
        <v>1</v>
      </c>
      <c r="R403" s="27">
        <f>EDProj[[#This Row],[★ Judge]]+EDProj[[#This Row],[★ Alt Judge]]+EDProj[[#This Row],[★ Clerks]]</f>
        <v>16</v>
      </c>
      <c r="S403" s="28">
        <v>4750</v>
      </c>
      <c r="T403" s="23">
        <f>EDProj[[#This Row],[★ Ballot Cards]]/250</f>
        <v>19</v>
      </c>
      <c r="U403" s="38">
        <f>EDProj[[#This Row],[★ Soft Case (ADA) Voting Machines]]+EDProj[[#This Row],[Old EPB Allocation]]</f>
        <v>6.6666666666666661</v>
      </c>
      <c r="V403" s="38">
        <f>EDProj[[#This Row],[Tables Needed]]</f>
        <v>6.6666666666666661</v>
      </c>
      <c r="W403" s="27">
        <v>0</v>
      </c>
      <c r="X403" s="27">
        <v>0</v>
      </c>
      <c r="Y403" s="23">
        <f>ROUNDUP(IF(EDProj[[#This Row],[Tables Needed]]-EDProj[[#This Row],[Tables Provided by the Vote Center]]&lt;0,0,EDProj[[#This Row],[Tables Needed]]-EDProj[[#This Row],[Tables Provided by the Vote Center]]),0)</f>
        <v>7</v>
      </c>
      <c r="Z403" s="23">
        <f>ROUNDUP(IF(EDProj[[#This Row],[Chairs Needed]]-EDProj[[#This Row],[Chairs Provided by the Vote Center]]&lt;0,0,EDProj[[#This Row],[Chairs Needed]]-EDProj[[#This Row],[Chairs Provided by the Vote Center]]),0)</f>
        <v>7</v>
      </c>
    </row>
    <row r="404" spans="1:26" ht="13.9">
      <c r="A404" s="23" t="s">
        <v>294</v>
      </c>
      <c r="B404" s="24" t="s">
        <v>295</v>
      </c>
      <c r="C404" s="73" t="s">
        <v>963</v>
      </c>
      <c r="D404" s="25" t="s">
        <v>1006</v>
      </c>
      <c r="E404" s="26" t="s">
        <v>1007</v>
      </c>
      <c r="F404" s="92">
        <v>743</v>
      </c>
      <c r="G404" s="27">
        <v>4</v>
      </c>
      <c r="H404" s="27">
        <v>4</v>
      </c>
      <c r="I404" s="27">
        <v>11</v>
      </c>
      <c r="J404" s="27">
        <v>1</v>
      </c>
      <c r="K404" s="27">
        <v>0</v>
      </c>
      <c r="L404" s="27">
        <v>0</v>
      </c>
      <c r="M404" s="23">
        <f>SUM(EDProj[[#This Row],[★ Hard Case Voting Machines]:[★ Curbside (Rollie) Voting Machine]])</f>
        <v>12</v>
      </c>
      <c r="N404" s="23">
        <v>1</v>
      </c>
      <c r="O404" s="27">
        <v>7</v>
      </c>
      <c r="P404" s="27">
        <v>1</v>
      </c>
      <c r="Q404" s="23">
        <v>1</v>
      </c>
      <c r="R404" s="27">
        <f>EDProj[[#This Row],[★ Judge]]+EDProj[[#This Row],[★ Alt Judge]]+EDProj[[#This Row],[★ Clerks]]</f>
        <v>9</v>
      </c>
      <c r="S404" s="28">
        <v>1250</v>
      </c>
      <c r="T404" s="23">
        <f>EDProj[[#This Row],[★ Ballot Cards]]/250</f>
        <v>5</v>
      </c>
      <c r="U404" s="38">
        <f>EDProj[[#This Row],[★ Soft Case (ADA) Voting Machines]]+EDProj[[#This Row],[Old EPB Allocation]]</f>
        <v>5</v>
      </c>
      <c r="V404" s="38">
        <f>EDProj[[#This Row],[Tables Needed]]</f>
        <v>5</v>
      </c>
      <c r="W404" s="27">
        <v>0</v>
      </c>
      <c r="X404" s="27">
        <v>0</v>
      </c>
      <c r="Y404" s="23">
        <f>ROUNDUP(IF(EDProj[[#This Row],[Tables Needed]]-EDProj[[#This Row],[Tables Provided by the Vote Center]]&lt;0,0,EDProj[[#This Row],[Tables Needed]]-EDProj[[#This Row],[Tables Provided by the Vote Center]]),0)</f>
        <v>5</v>
      </c>
      <c r="Z404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405" spans="1:26" ht="13.9">
      <c r="A405" s="23" t="s">
        <v>294</v>
      </c>
      <c r="B405" s="24" t="s">
        <v>295</v>
      </c>
      <c r="C405" s="73" t="s">
        <v>963</v>
      </c>
      <c r="D405" s="25" t="s">
        <v>1008</v>
      </c>
      <c r="E405" s="26" t="s">
        <v>1009</v>
      </c>
      <c r="F405" s="92">
        <v>320</v>
      </c>
      <c r="G405" s="27">
        <v>4</v>
      </c>
      <c r="H405" s="27">
        <v>4</v>
      </c>
      <c r="I405" s="27">
        <v>5</v>
      </c>
      <c r="J405" s="27">
        <v>1</v>
      </c>
      <c r="K405" s="27">
        <v>0</v>
      </c>
      <c r="L405" s="27">
        <v>0</v>
      </c>
      <c r="M405" s="23">
        <f>SUM(EDProj[[#This Row],[★ Hard Case Voting Machines]:[★ Curbside (Rollie) Voting Machine]])</f>
        <v>6</v>
      </c>
      <c r="N405" s="23">
        <v>1</v>
      </c>
      <c r="O405" s="27">
        <v>5</v>
      </c>
      <c r="P405" s="27">
        <v>1</v>
      </c>
      <c r="Q405" s="23">
        <v>1</v>
      </c>
      <c r="R405" s="27">
        <f>EDProj[[#This Row],[★ Judge]]+EDProj[[#This Row],[★ Alt Judge]]+EDProj[[#This Row],[★ Clerks]]</f>
        <v>7</v>
      </c>
      <c r="S405" s="28">
        <v>750</v>
      </c>
      <c r="T405" s="23">
        <f>EDProj[[#This Row],[★ Ballot Cards]]/250</f>
        <v>3</v>
      </c>
      <c r="U405" s="38">
        <f>EDProj[[#This Row],[★ Soft Case (ADA) Voting Machines]]+EDProj[[#This Row],[Old EPB Allocation]]</f>
        <v>5</v>
      </c>
      <c r="V405" s="38">
        <f>EDProj[[#This Row],[Tables Needed]]</f>
        <v>5</v>
      </c>
      <c r="W405" s="27">
        <v>0</v>
      </c>
      <c r="X405" s="27">
        <v>0</v>
      </c>
      <c r="Y405" s="23">
        <f>ROUNDUP(IF(EDProj[[#This Row],[Tables Needed]]-EDProj[[#This Row],[Tables Provided by the Vote Center]]&lt;0,0,EDProj[[#This Row],[Tables Needed]]-EDProj[[#This Row],[Tables Provided by the Vote Center]]),0)</f>
        <v>5</v>
      </c>
      <c r="Z405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406" spans="1:26" ht="13.9">
      <c r="A406" s="23" t="s">
        <v>294</v>
      </c>
      <c r="B406" s="24" t="s">
        <v>295</v>
      </c>
      <c r="C406" s="73" t="s">
        <v>963</v>
      </c>
      <c r="D406" s="25" t="s">
        <v>1010</v>
      </c>
      <c r="E406" s="26" t="s">
        <v>1011</v>
      </c>
      <c r="F406" s="92">
        <v>500</v>
      </c>
      <c r="G406" s="27">
        <v>4</v>
      </c>
      <c r="H406" s="27">
        <v>4</v>
      </c>
      <c r="I406" s="27">
        <v>9</v>
      </c>
      <c r="J406" s="27">
        <v>1</v>
      </c>
      <c r="K406" s="27">
        <v>0</v>
      </c>
      <c r="L406" s="27">
        <v>0</v>
      </c>
      <c r="M406" s="23">
        <f>SUM(EDProj[[#This Row],[★ Hard Case Voting Machines]:[★ Curbside (Rollie) Voting Machine]])</f>
        <v>10</v>
      </c>
      <c r="N406" s="23">
        <v>1</v>
      </c>
      <c r="O406" s="27">
        <v>6</v>
      </c>
      <c r="P406" s="27">
        <v>1</v>
      </c>
      <c r="Q406" s="23">
        <v>1</v>
      </c>
      <c r="R406" s="27">
        <f>EDProj[[#This Row],[★ Judge]]+EDProj[[#This Row],[★ Alt Judge]]+EDProj[[#This Row],[★ Clerks]]</f>
        <v>8</v>
      </c>
      <c r="S406" s="28">
        <v>1000</v>
      </c>
      <c r="T406" s="23">
        <f>EDProj[[#This Row],[★ Ballot Cards]]/250</f>
        <v>4</v>
      </c>
      <c r="U406" s="38">
        <f>EDProj[[#This Row],[★ Soft Case (ADA) Voting Machines]]+EDProj[[#This Row],[Old EPB Allocation]]</f>
        <v>5</v>
      </c>
      <c r="V406" s="38">
        <f>EDProj[[#This Row],[Tables Needed]]</f>
        <v>5</v>
      </c>
      <c r="W406" s="27">
        <v>0</v>
      </c>
      <c r="X406" s="27">
        <v>0</v>
      </c>
      <c r="Y406" s="23">
        <f>ROUNDUP(IF(EDProj[[#This Row],[Tables Needed]]-EDProj[[#This Row],[Tables Provided by the Vote Center]]&lt;0,0,EDProj[[#This Row],[Tables Needed]]-EDProj[[#This Row],[Tables Provided by the Vote Center]]),0)</f>
        <v>5</v>
      </c>
      <c r="Z406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407" spans="1:26" ht="13.9">
      <c r="A407" s="23" t="s">
        <v>294</v>
      </c>
      <c r="B407" s="24" t="s">
        <v>295</v>
      </c>
      <c r="C407" s="73" t="s">
        <v>963</v>
      </c>
      <c r="D407" s="25" t="s">
        <v>1012</v>
      </c>
      <c r="E407" s="26" t="s">
        <v>1013</v>
      </c>
      <c r="F407" s="92">
        <v>494</v>
      </c>
      <c r="G407" s="27">
        <v>4</v>
      </c>
      <c r="H407" s="27">
        <v>4</v>
      </c>
      <c r="I407" s="27">
        <v>7</v>
      </c>
      <c r="J407" s="27">
        <v>1</v>
      </c>
      <c r="K407" s="27">
        <v>0</v>
      </c>
      <c r="L407" s="27">
        <v>0</v>
      </c>
      <c r="M407" s="23">
        <f>SUM(EDProj[[#This Row],[★ Hard Case Voting Machines]:[★ Curbside (Rollie) Voting Machine]])</f>
        <v>8</v>
      </c>
      <c r="N407" s="23">
        <v>1</v>
      </c>
      <c r="O407" s="27">
        <v>6</v>
      </c>
      <c r="P407" s="27">
        <v>1</v>
      </c>
      <c r="Q407" s="23">
        <v>1</v>
      </c>
      <c r="R407" s="27">
        <f>EDProj[[#This Row],[★ Judge]]+EDProj[[#This Row],[★ Alt Judge]]+EDProj[[#This Row],[★ Clerks]]</f>
        <v>8</v>
      </c>
      <c r="S407" s="28">
        <v>1000</v>
      </c>
      <c r="T407" s="23">
        <f>EDProj[[#This Row],[★ Ballot Cards]]/250</f>
        <v>4</v>
      </c>
      <c r="U407" s="38">
        <f>EDProj[[#This Row],[★ Soft Case (ADA) Voting Machines]]+EDProj[[#This Row],[Old EPB Allocation]]</f>
        <v>5</v>
      </c>
      <c r="V407" s="38">
        <f>EDProj[[#This Row],[Tables Needed]]</f>
        <v>5</v>
      </c>
      <c r="W407" s="27">
        <v>0</v>
      </c>
      <c r="X407" s="27">
        <v>0</v>
      </c>
      <c r="Y407" s="23">
        <f>ROUNDUP(IF(EDProj[[#This Row],[Tables Needed]]-EDProj[[#This Row],[Tables Provided by the Vote Center]]&lt;0,0,EDProj[[#This Row],[Tables Needed]]-EDProj[[#This Row],[Tables Provided by the Vote Center]]),0)</f>
        <v>5</v>
      </c>
      <c r="Z407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408" spans="1:26" ht="13.9">
      <c r="A408" s="23" t="s">
        <v>294</v>
      </c>
      <c r="B408" s="24" t="s">
        <v>295</v>
      </c>
      <c r="C408" s="73" t="s">
        <v>963</v>
      </c>
      <c r="D408" s="25" t="s">
        <v>1014</v>
      </c>
      <c r="E408" s="26" t="s">
        <v>1015</v>
      </c>
      <c r="F408" s="92">
        <v>765</v>
      </c>
      <c r="G408" s="27">
        <v>4</v>
      </c>
      <c r="H408" s="27">
        <v>4</v>
      </c>
      <c r="I408" s="27">
        <v>9</v>
      </c>
      <c r="J408" s="27">
        <v>1</v>
      </c>
      <c r="K408" s="27">
        <v>0</v>
      </c>
      <c r="L408" s="27">
        <v>0</v>
      </c>
      <c r="M408" s="23">
        <f>SUM(EDProj[[#This Row],[★ Hard Case Voting Machines]:[★ Curbside (Rollie) Voting Machine]])</f>
        <v>10</v>
      </c>
      <c r="N408" s="23">
        <v>1</v>
      </c>
      <c r="O408" s="27">
        <v>7</v>
      </c>
      <c r="P408" s="27">
        <v>1</v>
      </c>
      <c r="Q408" s="23">
        <v>1</v>
      </c>
      <c r="R408" s="27">
        <f>EDProj[[#This Row],[★ Judge]]+EDProj[[#This Row],[★ Alt Judge]]+EDProj[[#This Row],[★ Clerks]]</f>
        <v>9</v>
      </c>
      <c r="S408" s="28">
        <v>1250</v>
      </c>
      <c r="T408" s="23">
        <f>EDProj[[#This Row],[★ Ballot Cards]]/250</f>
        <v>5</v>
      </c>
      <c r="U408" s="38">
        <f>EDProj[[#This Row],[★ Soft Case (ADA) Voting Machines]]+EDProj[[#This Row],[Old EPB Allocation]]</f>
        <v>5</v>
      </c>
      <c r="V408" s="38">
        <f>EDProj[[#This Row],[Tables Needed]]</f>
        <v>5</v>
      </c>
      <c r="W408" s="27">
        <v>0</v>
      </c>
      <c r="X408" s="27">
        <v>0</v>
      </c>
      <c r="Y408" s="23">
        <f>ROUNDUP(IF(EDProj[[#This Row],[Tables Needed]]-EDProj[[#This Row],[Tables Provided by the Vote Center]]&lt;0,0,EDProj[[#This Row],[Tables Needed]]-EDProj[[#This Row],[Tables Provided by the Vote Center]]),0)</f>
        <v>5</v>
      </c>
      <c r="Z408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409" spans="1:26" ht="13.9">
      <c r="A409" s="23" t="s">
        <v>294</v>
      </c>
      <c r="B409" s="24" t="s">
        <v>295</v>
      </c>
      <c r="C409" s="73" t="s">
        <v>963</v>
      </c>
      <c r="D409" s="25" t="s">
        <v>1016</v>
      </c>
      <c r="E409" s="26" t="s">
        <v>1017</v>
      </c>
      <c r="F409" s="92">
        <v>1168</v>
      </c>
      <c r="G409" s="27">
        <v>4</v>
      </c>
      <c r="H409" s="27">
        <v>4</v>
      </c>
      <c r="I409" s="27">
        <v>17</v>
      </c>
      <c r="J409" s="27">
        <v>1</v>
      </c>
      <c r="K409" s="27">
        <v>0</v>
      </c>
      <c r="L409" s="27">
        <v>0</v>
      </c>
      <c r="M409" s="23">
        <f>SUM(EDProj[[#This Row],[★ Hard Case Voting Machines]:[★ Curbside (Rollie) Voting Machine]])</f>
        <v>18</v>
      </c>
      <c r="N409" s="23">
        <v>1</v>
      </c>
      <c r="O409" s="27">
        <v>9</v>
      </c>
      <c r="P409" s="27">
        <v>1</v>
      </c>
      <c r="Q409" s="23">
        <v>1</v>
      </c>
      <c r="R409" s="27">
        <f>EDProj[[#This Row],[★ Judge]]+EDProj[[#This Row],[★ Alt Judge]]+EDProj[[#This Row],[★ Clerks]]</f>
        <v>11</v>
      </c>
      <c r="S409" s="28">
        <v>2000</v>
      </c>
      <c r="T409" s="23">
        <f>EDProj[[#This Row],[★ Ballot Cards]]/250</f>
        <v>8</v>
      </c>
      <c r="U409" s="38">
        <f>EDProj[[#This Row],[★ Soft Case (ADA) Voting Machines]]+EDProj[[#This Row],[Old EPB Allocation]]</f>
        <v>5</v>
      </c>
      <c r="V409" s="38">
        <f>EDProj[[#This Row],[Tables Needed]]</f>
        <v>5</v>
      </c>
      <c r="W409" s="27">
        <v>15</v>
      </c>
      <c r="X409" s="27">
        <v>15</v>
      </c>
      <c r="Y409" s="23">
        <f>ROUNDUP(IF(EDProj[[#This Row],[Tables Needed]]-EDProj[[#This Row],[Tables Provided by the Vote Center]]&lt;0,0,EDProj[[#This Row],[Tables Needed]]-EDProj[[#This Row],[Tables Provided by the Vote Center]]),0)</f>
        <v>0</v>
      </c>
      <c r="Z409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410" spans="1:26" ht="13.9">
      <c r="A410" s="23" t="s">
        <v>294</v>
      </c>
      <c r="B410" s="24" t="s">
        <v>295</v>
      </c>
      <c r="C410" s="73" t="s">
        <v>963</v>
      </c>
      <c r="D410" s="25" t="s">
        <v>1018</v>
      </c>
      <c r="E410" s="26" t="s">
        <v>1019</v>
      </c>
      <c r="F410" s="92">
        <v>583</v>
      </c>
      <c r="G410" s="27">
        <v>4</v>
      </c>
      <c r="H410" s="27">
        <v>4</v>
      </c>
      <c r="I410" s="27">
        <v>10</v>
      </c>
      <c r="J410" s="27">
        <v>1</v>
      </c>
      <c r="K410" s="27">
        <v>0</v>
      </c>
      <c r="L410" s="27">
        <v>0</v>
      </c>
      <c r="M410" s="23">
        <f>SUM(EDProj[[#This Row],[★ Hard Case Voting Machines]:[★ Curbside (Rollie) Voting Machine]])</f>
        <v>11</v>
      </c>
      <c r="N410" s="23">
        <v>1</v>
      </c>
      <c r="O410" s="27">
        <v>6</v>
      </c>
      <c r="P410" s="27">
        <v>1</v>
      </c>
      <c r="Q410" s="23">
        <v>1</v>
      </c>
      <c r="R410" s="27">
        <f>EDProj[[#This Row],[★ Judge]]+EDProj[[#This Row],[★ Alt Judge]]+EDProj[[#This Row],[★ Clerks]]</f>
        <v>8</v>
      </c>
      <c r="S410" s="28">
        <v>1000</v>
      </c>
      <c r="T410" s="23">
        <f>EDProj[[#This Row],[★ Ballot Cards]]/250</f>
        <v>4</v>
      </c>
      <c r="U410" s="38">
        <f>EDProj[[#This Row],[★ Soft Case (ADA) Voting Machines]]+EDProj[[#This Row],[Old EPB Allocation]]</f>
        <v>5</v>
      </c>
      <c r="V410" s="38">
        <f>EDProj[[#This Row],[Tables Needed]]</f>
        <v>5</v>
      </c>
      <c r="W410" s="27">
        <v>0</v>
      </c>
      <c r="X410" s="27">
        <v>0</v>
      </c>
      <c r="Y410" s="23">
        <f>ROUNDUP(IF(EDProj[[#This Row],[Tables Needed]]-EDProj[[#This Row],[Tables Provided by the Vote Center]]&lt;0,0,EDProj[[#This Row],[Tables Needed]]-EDProj[[#This Row],[Tables Provided by the Vote Center]]),0)</f>
        <v>5</v>
      </c>
      <c r="Z410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411" spans="1:26" ht="13.9">
      <c r="A411" s="23" t="s">
        <v>294</v>
      </c>
      <c r="B411" s="24" t="s">
        <v>295</v>
      </c>
      <c r="C411" s="73" t="s">
        <v>963</v>
      </c>
      <c r="D411" s="30" t="s">
        <v>1020</v>
      </c>
      <c r="E411" s="31" t="s">
        <v>1021</v>
      </c>
      <c r="F411" s="93">
        <v>1033</v>
      </c>
      <c r="G411" s="27">
        <v>4</v>
      </c>
      <c r="H411" s="27">
        <v>4</v>
      </c>
      <c r="I411" s="27">
        <v>11</v>
      </c>
      <c r="J411" s="27">
        <v>1</v>
      </c>
      <c r="K411" s="27">
        <v>0</v>
      </c>
      <c r="L411" s="27">
        <v>0</v>
      </c>
      <c r="M411" s="23">
        <f>SUM(EDProj[[#This Row],[★ Hard Case Voting Machines]:[★ Curbside (Rollie) Voting Machine]])</f>
        <v>12</v>
      </c>
      <c r="N411" s="23">
        <v>1</v>
      </c>
      <c r="O411" s="27">
        <v>8</v>
      </c>
      <c r="P411" s="27">
        <v>1</v>
      </c>
      <c r="Q411" s="23">
        <v>1</v>
      </c>
      <c r="R411" s="27">
        <f>EDProj[[#This Row],[★ Judge]]+EDProj[[#This Row],[★ Alt Judge]]+EDProj[[#This Row],[★ Clerks]]</f>
        <v>10</v>
      </c>
      <c r="S411" s="28">
        <v>1750</v>
      </c>
      <c r="T411" s="23">
        <f>EDProj[[#This Row],[★ Ballot Cards]]/250</f>
        <v>7</v>
      </c>
      <c r="U411" s="38">
        <f>EDProj[[#This Row],[★ Soft Case (ADA) Voting Machines]]+EDProj[[#This Row],[Old EPB Allocation]]</f>
        <v>5</v>
      </c>
      <c r="V411" s="38">
        <f>EDProj[[#This Row],[Tables Needed]]</f>
        <v>5</v>
      </c>
      <c r="W411" s="27">
        <v>6</v>
      </c>
      <c r="X411" s="27">
        <v>12</v>
      </c>
      <c r="Y411" s="23">
        <f>ROUNDUP(IF(EDProj[[#This Row],[Tables Needed]]-EDProj[[#This Row],[Tables Provided by the Vote Center]]&lt;0,0,EDProj[[#This Row],[Tables Needed]]-EDProj[[#This Row],[Tables Provided by the Vote Center]]),0)</f>
        <v>0</v>
      </c>
      <c r="Z411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412" spans="1:26" ht="13.9">
      <c r="A412" s="23" t="s">
        <v>113</v>
      </c>
      <c r="B412" s="24" t="s">
        <v>309</v>
      </c>
      <c r="C412" s="73" t="s">
        <v>1022</v>
      </c>
      <c r="D412" s="30" t="s">
        <v>308</v>
      </c>
      <c r="E412" s="31" t="s">
        <v>310</v>
      </c>
      <c r="F412" s="93">
        <v>821</v>
      </c>
      <c r="G412" s="27">
        <v>4.3333333333333339</v>
      </c>
      <c r="H412" s="27">
        <v>8</v>
      </c>
      <c r="I412" s="27">
        <v>11</v>
      </c>
      <c r="J412" s="27">
        <v>1</v>
      </c>
      <c r="K412" s="27">
        <v>1</v>
      </c>
      <c r="L412" s="27">
        <v>1</v>
      </c>
      <c r="M412" s="23">
        <f>SUM(EDProj[[#This Row],[★ Hard Case Voting Machines]:[★ Curbside (Rollie) Voting Machine]])</f>
        <v>14</v>
      </c>
      <c r="N412" s="23">
        <v>1</v>
      </c>
      <c r="O412" s="27">
        <v>11</v>
      </c>
      <c r="P412" s="27">
        <v>1</v>
      </c>
      <c r="Q412" s="23">
        <v>1</v>
      </c>
      <c r="R412" s="27">
        <f>EDProj[[#This Row],[★ Judge]]+EDProj[[#This Row],[★ Alt Judge]]+EDProj[[#This Row],[★ Clerks]]</f>
        <v>13</v>
      </c>
      <c r="S412" s="28">
        <v>750</v>
      </c>
      <c r="T412" s="23">
        <f>EDProj[[#This Row],[★ Ballot Cards]]/250</f>
        <v>3</v>
      </c>
      <c r="U412" s="38">
        <f>EDProj[[#This Row],[★ Soft Case (ADA) Voting Machines]]+EDProj[[#This Row],[Old EPB Allocation]]</f>
        <v>5.3333333333333339</v>
      </c>
      <c r="V412" s="38">
        <f>EDProj[[#This Row],[Tables Needed]]</f>
        <v>5.3333333333333339</v>
      </c>
      <c r="W412" s="27">
        <v>20</v>
      </c>
      <c r="X412" s="27">
        <v>20</v>
      </c>
      <c r="Y412" s="23">
        <f>ROUNDUP(IF(EDProj[[#This Row],[Tables Needed]]-EDProj[[#This Row],[Tables Provided by the Vote Center]]&lt;0,0,EDProj[[#This Row],[Tables Needed]]-EDProj[[#This Row],[Tables Provided by the Vote Center]]),0)</f>
        <v>0</v>
      </c>
      <c r="Z412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413" spans="1:26" ht="13.9">
      <c r="A413" s="23" t="s">
        <v>294</v>
      </c>
      <c r="B413" s="24" t="s">
        <v>295</v>
      </c>
      <c r="C413" s="73" t="s">
        <v>1022</v>
      </c>
      <c r="D413" s="30" t="s">
        <v>1023</v>
      </c>
      <c r="E413" s="31" t="s">
        <v>1024</v>
      </c>
      <c r="F413" s="93">
        <v>181</v>
      </c>
      <c r="G413" s="27">
        <v>4</v>
      </c>
      <c r="H413" s="27">
        <v>4</v>
      </c>
      <c r="I413" s="27">
        <v>3</v>
      </c>
      <c r="J413" s="27">
        <v>1</v>
      </c>
      <c r="K413" s="27">
        <v>0</v>
      </c>
      <c r="L413" s="27">
        <v>0</v>
      </c>
      <c r="M413" s="23">
        <f>SUM(EDProj[[#This Row],[★ Hard Case Voting Machines]:[★ Curbside (Rollie) Voting Machine]])</f>
        <v>4</v>
      </c>
      <c r="N413" s="23">
        <v>1</v>
      </c>
      <c r="O413" s="27">
        <v>4</v>
      </c>
      <c r="P413" s="27">
        <v>1</v>
      </c>
      <c r="Q413" s="23">
        <v>1</v>
      </c>
      <c r="R413" s="27">
        <f>EDProj[[#This Row],[★ Judge]]+EDProj[[#This Row],[★ Alt Judge]]+EDProj[[#This Row],[★ Clerks]]</f>
        <v>6</v>
      </c>
      <c r="S413" s="28">
        <v>500</v>
      </c>
      <c r="T413" s="23">
        <f>EDProj[[#This Row],[★ Ballot Cards]]/250</f>
        <v>2</v>
      </c>
      <c r="U413" s="38">
        <f>EDProj[[#This Row],[★ Soft Case (ADA) Voting Machines]]+EDProj[[#This Row],[Old EPB Allocation]]</f>
        <v>5</v>
      </c>
      <c r="V413" s="38">
        <f>EDProj[[#This Row],[Tables Needed]]</f>
        <v>5</v>
      </c>
      <c r="W413" s="27">
        <v>4</v>
      </c>
      <c r="X413" s="27">
        <v>10</v>
      </c>
      <c r="Y413" s="23">
        <f>ROUNDUP(IF(EDProj[[#This Row],[Tables Needed]]-EDProj[[#This Row],[Tables Provided by the Vote Center]]&lt;0,0,EDProj[[#This Row],[Tables Needed]]-EDProj[[#This Row],[Tables Provided by the Vote Center]]),0)</f>
        <v>1</v>
      </c>
      <c r="Z413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414" spans="1:26" ht="13.9">
      <c r="A414" s="23" t="s">
        <v>113</v>
      </c>
      <c r="B414" s="24" t="s">
        <v>205</v>
      </c>
      <c r="C414" s="73" t="s">
        <v>1022</v>
      </c>
      <c r="D414" s="30" t="s">
        <v>204</v>
      </c>
      <c r="E414" s="31" t="s">
        <v>206</v>
      </c>
      <c r="F414" s="93">
        <v>1867</v>
      </c>
      <c r="G414" s="27">
        <v>4</v>
      </c>
      <c r="H414" s="27">
        <v>5</v>
      </c>
      <c r="I414" s="27">
        <v>9</v>
      </c>
      <c r="J414" s="27">
        <v>1</v>
      </c>
      <c r="K414" s="27">
        <v>1</v>
      </c>
      <c r="L414" s="27">
        <v>1</v>
      </c>
      <c r="M414" s="23">
        <f>SUM(EDProj[[#This Row],[★ Hard Case Voting Machines]:[★ Curbside (Rollie) Voting Machine]])</f>
        <v>12</v>
      </c>
      <c r="N414" s="23">
        <v>1</v>
      </c>
      <c r="O414" s="27">
        <v>7</v>
      </c>
      <c r="P414" s="27">
        <v>1</v>
      </c>
      <c r="Q414" s="23">
        <v>1</v>
      </c>
      <c r="R414" s="27">
        <f>EDProj[[#This Row],[★ Judge]]+EDProj[[#This Row],[★ Alt Judge]]+EDProj[[#This Row],[★ Clerks]]</f>
        <v>9</v>
      </c>
      <c r="S414" s="28">
        <v>1250</v>
      </c>
      <c r="T414" s="23">
        <f>EDProj[[#This Row],[★ Ballot Cards]]/250</f>
        <v>5</v>
      </c>
      <c r="U414" s="38">
        <f>EDProj[[#This Row],[★ Soft Case (ADA) Voting Machines]]+EDProj[[#This Row],[Old EPB Allocation]]</f>
        <v>5</v>
      </c>
      <c r="V414" s="38">
        <f>EDProj[[#This Row],[Tables Needed]]</f>
        <v>5</v>
      </c>
      <c r="W414" s="27">
        <v>10</v>
      </c>
      <c r="X414" s="27">
        <v>20</v>
      </c>
      <c r="Y414" s="23">
        <f>ROUNDUP(IF(EDProj[[#This Row],[Tables Needed]]-EDProj[[#This Row],[Tables Provided by the Vote Center]]&lt;0,0,EDProj[[#This Row],[Tables Needed]]-EDProj[[#This Row],[Tables Provided by the Vote Center]]),0)</f>
        <v>0</v>
      </c>
      <c r="Z414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415" spans="1:26" ht="13.9">
      <c r="A415" s="23" t="s">
        <v>294</v>
      </c>
      <c r="B415" s="24" t="s">
        <v>295</v>
      </c>
      <c r="C415" s="73" t="s">
        <v>1022</v>
      </c>
      <c r="D415" s="25" t="s">
        <v>1025</v>
      </c>
      <c r="E415" s="26" t="s">
        <v>1026</v>
      </c>
      <c r="F415" s="92">
        <v>320</v>
      </c>
      <c r="G415" s="27">
        <v>4</v>
      </c>
      <c r="H415" s="27">
        <v>4</v>
      </c>
      <c r="I415" s="27">
        <v>5</v>
      </c>
      <c r="J415" s="27">
        <v>1</v>
      </c>
      <c r="K415" s="27">
        <v>0</v>
      </c>
      <c r="L415" s="27">
        <v>0</v>
      </c>
      <c r="M415" s="23">
        <f>SUM(EDProj[[#This Row],[★ Hard Case Voting Machines]:[★ Curbside (Rollie) Voting Machine]])</f>
        <v>6</v>
      </c>
      <c r="N415" s="23">
        <v>1</v>
      </c>
      <c r="O415" s="27">
        <v>5</v>
      </c>
      <c r="P415" s="27">
        <v>1</v>
      </c>
      <c r="Q415" s="23">
        <v>1</v>
      </c>
      <c r="R415" s="27">
        <f>EDProj[[#This Row],[★ Judge]]+EDProj[[#This Row],[★ Alt Judge]]+EDProj[[#This Row],[★ Clerks]]</f>
        <v>7</v>
      </c>
      <c r="S415" s="28">
        <v>750</v>
      </c>
      <c r="T415" s="23">
        <f>EDProj[[#This Row],[★ Ballot Cards]]/250</f>
        <v>3</v>
      </c>
      <c r="U415" s="38">
        <f>EDProj[[#This Row],[★ Soft Case (ADA) Voting Machines]]+EDProj[[#This Row],[Old EPB Allocation]]</f>
        <v>5</v>
      </c>
      <c r="V415" s="38">
        <f>EDProj[[#This Row],[Tables Needed]]</f>
        <v>5</v>
      </c>
      <c r="W415" s="27">
        <v>0</v>
      </c>
      <c r="X415" s="27">
        <v>0</v>
      </c>
      <c r="Y415" s="23">
        <f>ROUNDUP(IF(EDProj[[#This Row],[Tables Needed]]-EDProj[[#This Row],[Tables Provided by the Vote Center]]&lt;0,0,EDProj[[#This Row],[Tables Needed]]-EDProj[[#This Row],[Tables Provided by the Vote Center]]),0)</f>
        <v>5</v>
      </c>
      <c r="Z415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416" spans="1:26" ht="13.9">
      <c r="A416" s="23" t="s">
        <v>113</v>
      </c>
      <c r="B416" s="24" t="s">
        <v>229</v>
      </c>
      <c r="C416" s="73" t="s">
        <v>1022</v>
      </c>
      <c r="D416" s="25" t="s">
        <v>228</v>
      </c>
      <c r="E416" s="26" t="s">
        <v>230</v>
      </c>
      <c r="F416" s="92">
        <v>5343</v>
      </c>
      <c r="G416" s="27">
        <v>4</v>
      </c>
      <c r="H416" s="27">
        <v>6</v>
      </c>
      <c r="I416" s="27">
        <v>10</v>
      </c>
      <c r="J416" s="27">
        <v>1</v>
      </c>
      <c r="K416" s="27">
        <v>1</v>
      </c>
      <c r="L416" s="27">
        <v>1</v>
      </c>
      <c r="M416" s="23">
        <f>SUM(EDProj[[#This Row],[★ Hard Case Voting Machines]:[★ Curbside (Rollie) Voting Machine]])</f>
        <v>13</v>
      </c>
      <c r="N416" s="23">
        <v>1</v>
      </c>
      <c r="O416" s="27">
        <v>7</v>
      </c>
      <c r="P416" s="23">
        <v>1</v>
      </c>
      <c r="Q416" s="23">
        <v>1</v>
      </c>
      <c r="R416" s="27">
        <f>EDProj[[#This Row],[★ Judge]]+EDProj[[#This Row],[★ Alt Judge]]+EDProj[[#This Row],[★ Clerks]]</f>
        <v>9</v>
      </c>
      <c r="S416" s="28">
        <v>1500</v>
      </c>
      <c r="T416" s="23">
        <f>EDProj[[#This Row],[★ Ballot Cards]]/250</f>
        <v>6</v>
      </c>
      <c r="U416" s="38">
        <f>EDProj[[#This Row],[★ Soft Case (ADA) Voting Machines]]+EDProj[[#This Row],[Old EPB Allocation]]</f>
        <v>5</v>
      </c>
      <c r="V416" s="38">
        <f>EDProj[[#This Row],[Tables Needed]]</f>
        <v>5</v>
      </c>
      <c r="W416" s="27">
        <v>4</v>
      </c>
      <c r="X416" s="27">
        <v>8</v>
      </c>
      <c r="Y416" s="23">
        <f>ROUNDUP(IF(EDProj[[#This Row],[Tables Needed]]-EDProj[[#This Row],[Tables Provided by the Vote Center]]&lt;0,0,EDProj[[#This Row],[Tables Needed]]-EDProj[[#This Row],[Tables Provided by the Vote Center]]),0)</f>
        <v>1</v>
      </c>
      <c r="Z416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417" spans="1:26" ht="13.9">
      <c r="A417" s="23" t="s">
        <v>113</v>
      </c>
      <c r="B417" s="24" t="s">
        <v>238</v>
      </c>
      <c r="C417" s="73" t="s">
        <v>1022</v>
      </c>
      <c r="D417" s="33" t="s">
        <v>237</v>
      </c>
      <c r="E417" s="26" t="s">
        <v>239</v>
      </c>
      <c r="F417" s="92">
        <v>1302</v>
      </c>
      <c r="G417" s="27">
        <v>5</v>
      </c>
      <c r="H417" s="27">
        <v>9</v>
      </c>
      <c r="I417" s="27">
        <v>17</v>
      </c>
      <c r="J417" s="27">
        <v>1</v>
      </c>
      <c r="K417" s="27">
        <v>2</v>
      </c>
      <c r="L417" s="27">
        <v>1</v>
      </c>
      <c r="M417" s="23">
        <f>SUM(EDProj[[#This Row],[★ Hard Case Voting Machines]:[★ Curbside (Rollie) Voting Machine]])</f>
        <v>21</v>
      </c>
      <c r="N417" s="23">
        <v>1</v>
      </c>
      <c r="O417" s="27">
        <v>13</v>
      </c>
      <c r="P417" s="23">
        <v>1</v>
      </c>
      <c r="Q417" s="23">
        <v>1</v>
      </c>
      <c r="R417" s="27">
        <f>EDProj[[#This Row],[★ Judge]]+EDProj[[#This Row],[★ Alt Judge]]+EDProj[[#This Row],[★ Clerks]]</f>
        <v>15</v>
      </c>
      <c r="S417" s="28">
        <v>2250</v>
      </c>
      <c r="T417" s="23">
        <f>EDProj[[#This Row],[★ Ballot Cards]]/250</f>
        <v>9</v>
      </c>
      <c r="U417" s="38">
        <f>EDProj[[#This Row],[★ Soft Case (ADA) Voting Machines]]+EDProj[[#This Row],[Old EPB Allocation]]</f>
        <v>6</v>
      </c>
      <c r="V417" s="38">
        <f>EDProj[[#This Row],[Tables Needed]]</f>
        <v>6</v>
      </c>
      <c r="W417" s="27">
        <v>9</v>
      </c>
      <c r="X417" s="27">
        <v>50</v>
      </c>
      <c r="Y417" s="23">
        <f>ROUNDUP(IF(EDProj[[#This Row],[Tables Needed]]-EDProj[[#This Row],[Tables Provided by the Vote Center]]&lt;0,0,EDProj[[#This Row],[Tables Needed]]-EDProj[[#This Row],[Tables Provided by the Vote Center]]),0)</f>
        <v>0</v>
      </c>
      <c r="Z417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418" spans="1:26" ht="13.9">
      <c r="A418" s="23" t="s">
        <v>113</v>
      </c>
      <c r="B418" s="24" t="s">
        <v>187</v>
      </c>
      <c r="C418" s="73" t="s">
        <v>1022</v>
      </c>
      <c r="D418" s="25" t="s">
        <v>186</v>
      </c>
      <c r="E418" s="26" t="s">
        <v>188</v>
      </c>
      <c r="F418" s="92">
        <v>1262</v>
      </c>
      <c r="G418" s="27">
        <v>4</v>
      </c>
      <c r="H418" s="27">
        <v>4</v>
      </c>
      <c r="I418" s="27">
        <v>10</v>
      </c>
      <c r="J418" s="27">
        <v>1</v>
      </c>
      <c r="K418" s="27">
        <v>1</v>
      </c>
      <c r="L418" s="27">
        <v>1</v>
      </c>
      <c r="M418" s="23">
        <f>SUM(EDProj[[#This Row],[★ Hard Case Voting Machines]:[★ Curbside (Rollie) Voting Machine]])</f>
        <v>13</v>
      </c>
      <c r="N418" s="23">
        <v>1</v>
      </c>
      <c r="O418" s="27">
        <v>6</v>
      </c>
      <c r="P418" s="27">
        <v>1</v>
      </c>
      <c r="Q418" s="23">
        <v>1</v>
      </c>
      <c r="R418" s="27">
        <f>EDProj[[#This Row],[★ Judge]]+EDProj[[#This Row],[★ Alt Judge]]+EDProj[[#This Row],[★ Clerks]]</f>
        <v>8</v>
      </c>
      <c r="S418" s="28">
        <v>1000</v>
      </c>
      <c r="T418" s="23">
        <f>EDProj[[#This Row],[★ Ballot Cards]]/250</f>
        <v>4</v>
      </c>
      <c r="U418" s="38">
        <f>EDProj[[#This Row],[★ Soft Case (ADA) Voting Machines]]+EDProj[[#This Row],[Old EPB Allocation]]</f>
        <v>5</v>
      </c>
      <c r="V418" s="38">
        <f>EDProj[[#This Row],[Tables Needed]]</f>
        <v>5</v>
      </c>
      <c r="W418" s="27">
        <v>0</v>
      </c>
      <c r="X418" s="27">
        <v>0</v>
      </c>
      <c r="Y418" s="23">
        <f>ROUNDUP(IF(EDProj[[#This Row],[Tables Needed]]-EDProj[[#This Row],[Tables Provided by the Vote Center]]&lt;0,0,EDProj[[#This Row],[Tables Needed]]-EDProj[[#This Row],[Tables Provided by the Vote Center]]),0)</f>
        <v>5</v>
      </c>
      <c r="Z418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419" spans="1:26" ht="13.9">
      <c r="A419" s="23" t="s">
        <v>294</v>
      </c>
      <c r="B419" s="24" t="s">
        <v>295</v>
      </c>
      <c r="C419" s="73" t="s">
        <v>1022</v>
      </c>
      <c r="D419" s="25" t="s">
        <v>1027</v>
      </c>
      <c r="E419" s="26" t="s">
        <v>1028</v>
      </c>
      <c r="F419" s="92">
        <v>569</v>
      </c>
      <c r="G419" s="27">
        <v>4</v>
      </c>
      <c r="H419" s="27">
        <v>4</v>
      </c>
      <c r="I419" s="27">
        <v>8</v>
      </c>
      <c r="J419" s="27">
        <v>1</v>
      </c>
      <c r="K419" s="27">
        <v>0</v>
      </c>
      <c r="L419" s="27">
        <v>0</v>
      </c>
      <c r="M419" s="23">
        <f>SUM(EDProj[[#This Row],[★ Hard Case Voting Machines]:[★ Curbside (Rollie) Voting Machine]])</f>
        <v>9</v>
      </c>
      <c r="N419" s="23">
        <v>1</v>
      </c>
      <c r="O419" s="27">
        <v>6</v>
      </c>
      <c r="P419" s="27">
        <v>1</v>
      </c>
      <c r="Q419" s="23">
        <v>1</v>
      </c>
      <c r="R419" s="27">
        <f>EDProj[[#This Row],[★ Judge]]+EDProj[[#This Row],[★ Alt Judge]]+EDProj[[#This Row],[★ Clerks]]</f>
        <v>8</v>
      </c>
      <c r="S419" s="28">
        <v>1000</v>
      </c>
      <c r="T419" s="23">
        <f>EDProj[[#This Row],[★ Ballot Cards]]/250</f>
        <v>4</v>
      </c>
      <c r="U419" s="38">
        <f>EDProj[[#This Row],[★ Soft Case (ADA) Voting Machines]]+EDProj[[#This Row],[Old EPB Allocation]]</f>
        <v>5</v>
      </c>
      <c r="V419" s="38">
        <f>EDProj[[#This Row],[Tables Needed]]</f>
        <v>5</v>
      </c>
      <c r="W419" s="27">
        <v>0</v>
      </c>
      <c r="X419" s="27">
        <v>0</v>
      </c>
      <c r="Y419" s="23">
        <f>ROUNDUP(IF(EDProj[[#This Row],[Tables Needed]]-EDProj[[#This Row],[Tables Provided by the Vote Center]]&lt;0,0,EDProj[[#This Row],[Tables Needed]]-EDProj[[#This Row],[Tables Provided by the Vote Center]]),0)</f>
        <v>5</v>
      </c>
      <c r="Z419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420" spans="1:26" ht="13.9">
      <c r="A420" s="23" t="s">
        <v>113</v>
      </c>
      <c r="B420" s="24" t="s">
        <v>274</v>
      </c>
      <c r="C420" s="73" t="s">
        <v>1022</v>
      </c>
      <c r="D420" s="25" t="s">
        <v>273</v>
      </c>
      <c r="E420" s="26" t="s">
        <v>275</v>
      </c>
      <c r="F420" s="92">
        <v>1443</v>
      </c>
      <c r="G420" s="27">
        <v>5</v>
      </c>
      <c r="H420" s="27">
        <v>6</v>
      </c>
      <c r="I420" s="27">
        <v>17</v>
      </c>
      <c r="J420" s="27">
        <v>1</v>
      </c>
      <c r="K420" s="27">
        <v>2</v>
      </c>
      <c r="L420" s="27">
        <v>0</v>
      </c>
      <c r="M420" s="23">
        <f>SUM(EDProj[[#This Row],[★ Hard Case Voting Machines]:[★ Curbside (Rollie) Voting Machine]])</f>
        <v>20</v>
      </c>
      <c r="N420" s="23">
        <v>1</v>
      </c>
      <c r="O420" s="27">
        <v>9</v>
      </c>
      <c r="P420" s="27">
        <v>1</v>
      </c>
      <c r="Q420" s="23">
        <v>1</v>
      </c>
      <c r="R420" s="27">
        <f>EDProj[[#This Row],[★ Judge]]+EDProj[[#This Row],[★ Alt Judge]]+EDProj[[#This Row],[★ Clerks]]</f>
        <v>11</v>
      </c>
      <c r="S420" s="28">
        <v>2000</v>
      </c>
      <c r="T420" s="23">
        <f>EDProj[[#This Row],[★ Ballot Cards]]/250</f>
        <v>8</v>
      </c>
      <c r="U420" s="38">
        <f>EDProj[[#This Row],[★ Soft Case (ADA) Voting Machines]]+EDProj[[#This Row],[Old EPB Allocation]]</f>
        <v>6</v>
      </c>
      <c r="V420" s="38">
        <f>EDProj[[#This Row],[Tables Needed]]</f>
        <v>6</v>
      </c>
      <c r="W420" s="27">
        <v>0</v>
      </c>
      <c r="X420" s="27">
        <v>0</v>
      </c>
      <c r="Y420" s="23">
        <f>ROUNDUP(IF(EDProj[[#This Row],[Tables Needed]]-EDProj[[#This Row],[Tables Provided by the Vote Center]]&lt;0,0,EDProj[[#This Row],[Tables Needed]]-EDProj[[#This Row],[Tables Provided by the Vote Center]]),0)</f>
        <v>6</v>
      </c>
      <c r="Z420" s="23">
        <f>ROUNDUP(IF(EDProj[[#This Row],[Chairs Needed]]-EDProj[[#This Row],[Chairs Provided by the Vote Center]]&lt;0,0,EDProj[[#This Row],[Chairs Needed]]-EDProj[[#This Row],[Chairs Provided by the Vote Center]]),0)</f>
        <v>6</v>
      </c>
    </row>
    <row r="421" spans="1:26" ht="13.9">
      <c r="A421" s="23" t="s">
        <v>294</v>
      </c>
      <c r="B421" s="24" t="s">
        <v>295</v>
      </c>
      <c r="C421" s="73" t="s">
        <v>1022</v>
      </c>
      <c r="D421" s="30" t="s">
        <v>1029</v>
      </c>
      <c r="E421" s="31" t="s">
        <v>1030</v>
      </c>
      <c r="F421" s="93">
        <v>451</v>
      </c>
      <c r="G421" s="27">
        <v>4</v>
      </c>
      <c r="H421" s="27">
        <v>4</v>
      </c>
      <c r="I421" s="27">
        <v>7</v>
      </c>
      <c r="J421" s="27">
        <v>1</v>
      </c>
      <c r="K421" s="27">
        <v>0</v>
      </c>
      <c r="L421" s="27">
        <v>0</v>
      </c>
      <c r="M421" s="23">
        <f>SUM(EDProj[[#This Row],[★ Hard Case Voting Machines]:[★ Curbside (Rollie) Voting Machine]])</f>
        <v>8</v>
      </c>
      <c r="N421" s="23">
        <v>1</v>
      </c>
      <c r="O421" s="27">
        <v>5</v>
      </c>
      <c r="P421" s="27">
        <v>1</v>
      </c>
      <c r="Q421" s="23">
        <v>1</v>
      </c>
      <c r="R421" s="27">
        <f>EDProj[[#This Row],[★ Judge]]+EDProj[[#This Row],[★ Alt Judge]]+EDProj[[#This Row],[★ Clerks]]</f>
        <v>7</v>
      </c>
      <c r="S421" s="28">
        <v>750</v>
      </c>
      <c r="T421" s="23">
        <f>EDProj[[#This Row],[★ Ballot Cards]]/250</f>
        <v>3</v>
      </c>
      <c r="U421" s="38">
        <f>EDProj[[#This Row],[★ Soft Case (ADA) Voting Machines]]+EDProj[[#This Row],[Old EPB Allocation]]</f>
        <v>5</v>
      </c>
      <c r="V421" s="38">
        <f>EDProj[[#This Row],[Tables Needed]]</f>
        <v>5</v>
      </c>
      <c r="W421" s="27">
        <v>0</v>
      </c>
      <c r="X421" s="27">
        <v>5</v>
      </c>
      <c r="Y421" s="23">
        <f>ROUNDUP(IF(EDProj[[#This Row],[Tables Needed]]-EDProj[[#This Row],[Tables Provided by the Vote Center]]&lt;0,0,EDProj[[#This Row],[Tables Needed]]-EDProj[[#This Row],[Tables Provided by the Vote Center]]),0)</f>
        <v>5</v>
      </c>
      <c r="Z421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422" spans="1:26" ht="13.9">
      <c r="A422" s="23" t="s">
        <v>294</v>
      </c>
      <c r="B422" s="24" t="s">
        <v>295</v>
      </c>
      <c r="C422" s="73" t="s">
        <v>1022</v>
      </c>
      <c r="D422" s="25" t="s">
        <v>1031</v>
      </c>
      <c r="E422" s="26" t="s">
        <v>1032</v>
      </c>
      <c r="F422" s="92">
        <v>336</v>
      </c>
      <c r="G422" s="27">
        <v>4</v>
      </c>
      <c r="H422" s="27">
        <v>4</v>
      </c>
      <c r="I422" s="27">
        <v>6</v>
      </c>
      <c r="J422" s="27">
        <v>1</v>
      </c>
      <c r="K422" s="27">
        <v>0</v>
      </c>
      <c r="L422" s="27">
        <v>0</v>
      </c>
      <c r="M422" s="23">
        <f>SUM(EDProj[[#This Row],[★ Hard Case Voting Machines]:[★ Curbside (Rollie) Voting Machine]])</f>
        <v>7</v>
      </c>
      <c r="N422" s="23">
        <v>1</v>
      </c>
      <c r="O422" s="27">
        <v>5</v>
      </c>
      <c r="P422" s="27">
        <v>1</v>
      </c>
      <c r="Q422" s="23">
        <v>1</v>
      </c>
      <c r="R422" s="27">
        <f>EDProj[[#This Row],[★ Judge]]+EDProj[[#This Row],[★ Alt Judge]]+EDProj[[#This Row],[★ Clerks]]</f>
        <v>7</v>
      </c>
      <c r="S422" s="28">
        <v>750</v>
      </c>
      <c r="T422" s="23">
        <f>EDProj[[#This Row],[★ Ballot Cards]]/250</f>
        <v>3</v>
      </c>
      <c r="U422" s="38">
        <f>EDProj[[#This Row],[★ Soft Case (ADA) Voting Machines]]+EDProj[[#This Row],[Old EPB Allocation]]</f>
        <v>5</v>
      </c>
      <c r="V422" s="38">
        <f>EDProj[[#This Row],[Tables Needed]]</f>
        <v>5</v>
      </c>
      <c r="W422" s="27">
        <v>0</v>
      </c>
      <c r="X422" s="27">
        <v>0</v>
      </c>
      <c r="Y422" s="23">
        <f>ROUNDUP(IF(EDProj[[#This Row],[Tables Needed]]-EDProj[[#This Row],[Tables Provided by the Vote Center]]&lt;0,0,EDProj[[#This Row],[Tables Needed]]-EDProj[[#This Row],[Tables Provided by the Vote Center]]),0)</f>
        <v>5</v>
      </c>
      <c r="Z422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423" spans="1:26" ht="13.9">
      <c r="A423" s="23" t="s">
        <v>294</v>
      </c>
      <c r="B423" s="24" t="s">
        <v>295</v>
      </c>
      <c r="C423" s="73" t="s">
        <v>1022</v>
      </c>
      <c r="D423" s="25" t="s">
        <v>1033</v>
      </c>
      <c r="E423" s="26" t="s">
        <v>1034</v>
      </c>
      <c r="F423" s="92">
        <v>412</v>
      </c>
      <c r="G423" s="27">
        <v>4</v>
      </c>
      <c r="H423" s="27">
        <v>4</v>
      </c>
      <c r="I423" s="27">
        <v>6</v>
      </c>
      <c r="J423" s="27">
        <v>1</v>
      </c>
      <c r="K423" s="27">
        <v>0</v>
      </c>
      <c r="L423" s="27">
        <v>0</v>
      </c>
      <c r="M423" s="23">
        <f>SUM(EDProj[[#This Row],[★ Hard Case Voting Machines]:[★ Curbside (Rollie) Voting Machine]])</f>
        <v>7</v>
      </c>
      <c r="N423" s="23">
        <v>1</v>
      </c>
      <c r="O423" s="27">
        <v>5</v>
      </c>
      <c r="P423" s="27">
        <v>1</v>
      </c>
      <c r="Q423" s="23">
        <v>1</v>
      </c>
      <c r="R423" s="27">
        <f>EDProj[[#This Row],[★ Judge]]+EDProj[[#This Row],[★ Alt Judge]]+EDProj[[#This Row],[★ Clerks]]</f>
        <v>7</v>
      </c>
      <c r="S423" s="28">
        <v>750</v>
      </c>
      <c r="T423" s="23">
        <f>EDProj[[#This Row],[★ Ballot Cards]]/250</f>
        <v>3</v>
      </c>
      <c r="U423" s="38">
        <f>EDProj[[#This Row],[★ Soft Case (ADA) Voting Machines]]+EDProj[[#This Row],[Old EPB Allocation]]</f>
        <v>5</v>
      </c>
      <c r="V423" s="38">
        <f>EDProj[[#This Row],[Tables Needed]]</f>
        <v>5</v>
      </c>
      <c r="W423" s="27">
        <v>2</v>
      </c>
      <c r="X423" s="27">
        <v>5</v>
      </c>
      <c r="Y423" s="23">
        <f>ROUNDUP(IF(EDProj[[#This Row],[Tables Needed]]-EDProj[[#This Row],[Tables Provided by the Vote Center]]&lt;0,0,EDProj[[#This Row],[Tables Needed]]-EDProj[[#This Row],[Tables Provided by the Vote Center]]),0)</f>
        <v>3</v>
      </c>
      <c r="Z423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424" spans="1:26" ht="13.9">
      <c r="A424" s="23" t="s">
        <v>294</v>
      </c>
      <c r="B424" s="24" t="s">
        <v>295</v>
      </c>
      <c r="C424" s="73" t="s">
        <v>1022</v>
      </c>
      <c r="D424" s="30" t="s">
        <v>1035</v>
      </c>
      <c r="E424" s="31" t="s">
        <v>1036</v>
      </c>
      <c r="F424" s="93">
        <v>358</v>
      </c>
      <c r="G424" s="27">
        <v>4</v>
      </c>
      <c r="H424" s="27">
        <v>4</v>
      </c>
      <c r="I424" s="27">
        <v>6</v>
      </c>
      <c r="J424" s="27">
        <v>1</v>
      </c>
      <c r="K424" s="27">
        <v>0</v>
      </c>
      <c r="L424" s="27">
        <v>0</v>
      </c>
      <c r="M424" s="23">
        <f>SUM(EDProj[[#This Row],[★ Hard Case Voting Machines]:[★ Curbside (Rollie) Voting Machine]])</f>
        <v>7</v>
      </c>
      <c r="N424" s="23">
        <v>1</v>
      </c>
      <c r="O424" s="27">
        <v>5</v>
      </c>
      <c r="P424" s="27">
        <v>1</v>
      </c>
      <c r="Q424" s="23">
        <v>1</v>
      </c>
      <c r="R424" s="27">
        <f>EDProj[[#This Row],[★ Judge]]+EDProj[[#This Row],[★ Alt Judge]]+EDProj[[#This Row],[★ Clerks]]</f>
        <v>7</v>
      </c>
      <c r="S424" s="28">
        <v>750</v>
      </c>
      <c r="T424" s="23">
        <f>EDProj[[#This Row],[★ Ballot Cards]]/250</f>
        <v>3</v>
      </c>
      <c r="U424" s="38">
        <f>EDProj[[#This Row],[★ Soft Case (ADA) Voting Machines]]+EDProj[[#This Row],[Old EPB Allocation]]</f>
        <v>5</v>
      </c>
      <c r="V424" s="38">
        <f>EDProj[[#This Row],[Tables Needed]]</f>
        <v>5</v>
      </c>
      <c r="W424" s="27">
        <v>0</v>
      </c>
      <c r="X424" s="27">
        <v>0</v>
      </c>
      <c r="Y424" s="23">
        <f>ROUNDUP(IF(EDProj[[#This Row],[Tables Needed]]-EDProj[[#This Row],[Tables Provided by the Vote Center]]&lt;0,0,EDProj[[#This Row],[Tables Needed]]-EDProj[[#This Row],[Tables Provided by the Vote Center]]),0)</f>
        <v>5</v>
      </c>
      <c r="Z424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425" spans="1:26" ht="13.9">
      <c r="A425" s="23" t="s">
        <v>294</v>
      </c>
      <c r="B425" s="24" t="s">
        <v>295</v>
      </c>
      <c r="C425" s="73" t="s">
        <v>1022</v>
      </c>
      <c r="D425" s="24" t="s">
        <v>1037</v>
      </c>
      <c r="E425" s="73" t="s">
        <v>1038</v>
      </c>
      <c r="F425" s="63">
        <v>504</v>
      </c>
      <c r="G425" s="27">
        <v>4</v>
      </c>
      <c r="H425" s="27">
        <v>4</v>
      </c>
      <c r="I425" s="27">
        <v>7</v>
      </c>
      <c r="J425" s="27">
        <v>1</v>
      </c>
      <c r="K425" s="27">
        <v>0</v>
      </c>
      <c r="L425" s="27">
        <v>0</v>
      </c>
      <c r="M425" s="23">
        <f>SUM(EDProj[[#This Row],[★ Hard Case Voting Machines]:[★ Curbside (Rollie) Voting Machine]])</f>
        <v>8</v>
      </c>
      <c r="N425" s="23">
        <v>1</v>
      </c>
      <c r="O425" s="27">
        <v>5</v>
      </c>
      <c r="P425" s="23">
        <v>1</v>
      </c>
      <c r="Q425" s="23">
        <v>1</v>
      </c>
      <c r="R425" s="27">
        <f>EDProj[[#This Row],[★ Judge]]+EDProj[[#This Row],[★ Alt Judge]]+EDProj[[#This Row],[★ Clerks]]</f>
        <v>7</v>
      </c>
      <c r="S425" s="28">
        <v>1000</v>
      </c>
      <c r="T425" s="23">
        <f>EDProj[[#This Row],[★ Ballot Cards]]/250</f>
        <v>4</v>
      </c>
      <c r="U425" s="38">
        <f>EDProj[[#This Row],[★ Soft Case (ADA) Voting Machines]]+EDProj[[#This Row],[Old EPB Allocation]]</f>
        <v>5</v>
      </c>
      <c r="V425" s="38">
        <f>EDProj[[#This Row],[Tables Needed]]</f>
        <v>5</v>
      </c>
      <c r="W425" s="27">
        <v>3</v>
      </c>
      <c r="X425" s="27">
        <v>5</v>
      </c>
      <c r="Y425" s="23">
        <f>ROUNDUP(IF(EDProj[[#This Row],[Tables Needed]]-EDProj[[#This Row],[Tables Provided by the Vote Center]]&lt;0,0,EDProj[[#This Row],[Tables Needed]]-EDProj[[#This Row],[Tables Provided by the Vote Center]]),0)</f>
        <v>2</v>
      </c>
      <c r="Z425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426" spans="1:26" ht="13.9">
      <c r="A426" s="23" t="s">
        <v>294</v>
      </c>
      <c r="B426" s="24" t="s">
        <v>295</v>
      </c>
      <c r="C426" s="73" t="s">
        <v>1022</v>
      </c>
      <c r="D426" s="25" t="s">
        <v>1039</v>
      </c>
      <c r="E426" s="26" t="s">
        <v>1040</v>
      </c>
      <c r="F426" s="92">
        <v>492</v>
      </c>
      <c r="G426" s="27">
        <v>4</v>
      </c>
      <c r="H426" s="27">
        <v>4</v>
      </c>
      <c r="I426" s="27">
        <v>7</v>
      </c>
      <c r="J426" s="27">
        <v>1</v>
      </c>
      <c r="K426" s="27">
        <v>0</v>
      </c>
      <c r="L426" s="27">
        <v>0</v>
      </c>
      <c r="M426" s="23">
        <f>SUM(EDProj[[#This Row],[★ Hard Case Voting Machines]:[★ Curbside (Rollie) Voting Machine]])</f>
        <v>8</v>
      </c>
      <c r="N426" s="23">
        <v>1</v>
      </c>
      <c r="O426" s="27">
        <v>5</v>
      </c>
      <c r="P426" s="27">
        <v>1</v>
      </c>
      <c r="Q426" s="23">
        <v>1</v>
      </c>
      <c r="R426" s="27">
        <f>EDProj[[#This Row],[★ Judge]]+EDProj[[#This Row],[★ Alt Judge]]+EDProj[[#This Row],[★ Clerks]]</f>
        <v>7</v>
      </c>
      <c r="S426" s="28">
        <v>1000</v>
      </c>
      <c r="T426" s="23">
        <f>EDProj[[#This Row],[★ Ballot Cards]]/250</f>
        <v>4</v>
      </c>
      <c r="U426" s="38">
        <f>EDProj[[#This Row],[★ Soft Case (ADA) Voting Machines]]+EDProj[[#This Row],[Old EPB Allocation]]</f>
        <v>5</v>
      </c>
      <c r="V426" s="38">
        <f>EDProj[[#This Row],[Tables Needed]]</f>
        <v>5</v>
      </c>
      <c r="W426" s="27">
        <v>0</v>
      </c>
      <c r="X426" s="27">
        <v>0</v>
      </c>
      <c r="Y426" s="23">
        <f>ROUNDUP(IF(EDProj[[#This Row],[Tables Needed]]-EDProj[[#This Row],[Tables Provided by the Vote Center]]&lt;0,0,EDProj[[#This Row],[Tables Needed]]-EDProj[[#This Row],[Tables Provided by the Vote Center]]),0)</f>
        <v>5</v>
      </c>
      <c r="Z426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427" spans="1:26" ht="13.9">
      <c r="A427" s="23" t="s">
        <v>294</v>
      </c>
      <c r="B427" s="24" t="s">
        <v>295</v>
      </c>
      <c r="C427" s="73" t="s">
        <v>1022</v>
      </c>
      <c r="D427" s="30" t="s">
        <v>1041</v>
      </c>
      <c r="E427" s="31" t="s">
        <v>1042</v>
      </c>
      <c r="F427" s="93">
        <v>232</v>
      </c>
      <c r="G427" s="27">
        <v>4</v>
      </c>
      <c r="H427" s="27">
        <v>4</v>
      </c>
      <c r="I427" s="27">
        <v>3</v>
      </c>
      <c r="J427" s="27">
        <v>1</v>
      </c>
      <c r="K427" s="27">
        <v>0</v>
      </c>
      <c r="L427" s="27">
        <v>0</v>
      </c>
      <c r="M427" s="23">
        <f>SUM(EDProj[[#This Row],[★ Hard Case Voting Machines]:[★ Curbside (Rollie) Voting Machine]])</f>
        <v>4</v>
      </c>
      <c r="N427" s="23">
        <v>1</v>
      </c>
      <c r="O427" s="27">
        <v>4</v>
      </c>
      <c r="P427" s="27">
        <v>1</v>
      </c>
      <c r="Q427" s="23">
        <v>1</v>
      </c>
      <c r="R427" s="27">
        <f>EDProj[[#This Row],[★ Judge]]+EDProj[[#This Row],[★ Alt Judge]]+EDProj[[#This Row],[★ Clerks]]</f>
        <v>6</v>
      </c>
      <c r="S427" s="28">
        <v>500</v>
      </c>
      <c r="T427" s="23">
        <f>EDProj[[#This Row],[★ Ballot Cards]]/250</f>
        <v>2</v>
      </c>
      <c r="U427" s="38">
        <f>EDProj[[#This Row],[★ Soft Case (ADA) Voting Machines]]+EDProj[[#This Row],[Old EPB Allocation]]</f>
        <v>5</v>
      </c>
      <c r="V427" s="38">
        <f>EDProj[[#This Row],[Tables Needed]]</f>
        <v>5</v>
      </c>
      <c r="W427" s="27">
        <v>0</v>
      </c>
      <c r="X427" s="27">
        <v>0</v>
      </c>
      <c r="Y427" s="23">
        <f>ROUNDUP(IF(EDProj[[#This Row],[Tables Needed]]-EDProj[[#This Row],[Tables Provided by the Vote Center]]&lt;0,0,EDProj[[#This Row],[Tables Needed]]-EDProj[[#This Row],[Tables Provided by the Vote Center]]),0)</f>
        <v>5</v>
      </c>
      <c r="Z427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428" spans="1:26" ht="13.9">
      <c r="A428" s="23" t="s">
        <v>294</v>
      </c>
      <c r="B428" s="24" t="s">
        <v>295</v>
      </c>
      <c r="C428" s="73" t="s">
        <v>1022</v>
      </c>
      <c r="D428" s="30" t="s">
        <v>1043</v>
      </c>
      <c r="E428" s="31" t="s">
        <v>1044</v>
      </c>
      <c r="F428" s="93">
        <v>375</v>
      </c>
      <c r="G428" s="27">
        <v>4</v>
      </c>
      <c r="H428" s="27">
        <v>4</v>
      </c>
      <c r="I428" s="27">
        <v>7</v>
      </c>
      <c r="J428" s="27">
        <v>1</v>
      </c>
      <c r="K428" s="27">
        <v>0</v>
      </c>
      <c r="L428" s="27">
        <v>0</v>
      </c>
      <c r="M428" s="23">
        <f>SUM(EDProj[[#This Row],[★ Hard Case Voting Machines]:[★ Curbside (Rollie) Voting Machine]])</f>
        <v>8</v>
      </c>
      <c r="N428" s="23">
        <v>1</v>
      </c>
      <c r="O428" s="27">
        <v>5</v>
      </c>
      <c r="P428" s="27">
        <v>1</v>
      </c>
      <c r="Q428" s="23">
        <v>1</v>
      </c>
      <c r="R428" s="27">
        <f>EDProj[[#This Row],[★ Judge]]+EDProj[[#This Row],[★ Alt Judge]]+EDProj[[#This Row],[★ Clerks]]</f>
        <v>7</v>
      </c>
      <c r="S428" s="28">
        <v>750</v>
      </c>
      <c r="T428" s="23">
        <f>EDProj[[#This Row],[★ Ballot Cards]]/250</f>
        <v>3</v>
      </c>
      <c r="U428" s="38">
        <f>EDProj[[#This Row],[★ Soft Case (ADA) Voting Machines]]+EDProj[[#This Row],[Old EPB Allocation]]</f>
        <v>5</v>
      </c>
      <c r="V428" s="38">
        <f>EDProj[[#This Row],[Tables Needed]]</f>
        <v>5</v>
      </c>
      <c r="W428" s="27">
        <v>4</v>
      </c>
      <c r="X428" s="27">
        <v>4</v>
      </c>
      <c r="Y428" s="23">
        <f>ROUNDUP(IF(EDProj[[#This Row],[Tables Needed]]-EDProj[[#This Row],[Tables Provided by the Vote Center]]&lt;0,0,EDProj[[#This Row],[Tables Needed]]-EDProj[[#This Row],[Tables Provided by the Vote Center]]),0)</f>
        <v>1</v>
      </c>
      <c r="Z428" s="23">
        <f>ROUNDUP(IF(EDProj[[#This Row],[Chairs Needed]]-EDProj[[#This Row],[Chairs Provided by the Vote Center]]&lt;0,0,EDProj[[#This Row],[Chairs Needed]]-EDProj[[#This Row],[Chairs Provided by the Vote Center]]),0)</f>
        <v>1</v>
      </c>
    </row>
    <row r="429" spans="1:26" ht="13.9">
      <c r="A429" s="23" t="s">
        <v>294</v>
      </c>
      <c r="B429" s="24" t="s">
        <v>295</v>
      </c>
      <c r="C429" s="73" t="s">
        <v>1022</v>
      </c>
      <c r="D429" s="25" t="s">
        <v>1045</v>
      </c>
      <c r="E429" s="26" t="s">
        <v>1046</v>
      </c>
      <c r="F429" s="92">
        <v>512</v>
      </c>
      <c r="G429" s="27">
        <v>4</v>
      </c>
      <c r="H429" s="27">
        <v>4</v>
      </c>
      <c r="I429" s="27">
        <v>7</v>
      </c>
      <c r="J429" s="27">
        <v>1</v>
      </c>
      <c r="K429" s="27">
        <v>0</v>
      </c>
      <c r="L429" s="27">
        <v>0</v>
      </c>
      <c r="M429" s="23">
        <f>SUM(EDProj[[#This Row],[★ Hard Case Voting Machines]:[★ Curbside (Rollie) Voting Machine]])</f>
        <v>8</v>
      </c>
      <c r="N429" s="23">
        <v>1</v>
      </c>
      <c r="O429" s="27">
        <v>6</v>
      </c>
      <c r="P429" s="27">
        <v>1</v>
      </c>
      <c r="Q429" s="23">
        <v>1</v>
      </c>
      <c r="R429" s="27">
        <f>EDProj[[#This Row],[★ Judge]]+EDProj[[#This Row],[★ Alt Judge]]+EDProj[[#This Row],[★ Clerks]]</f>
        <v>8</v>
      </c>
      <c r="S429" s="28">
        <v>1000</v>
      </c>
      <c r="T429" s="23">
        <f>EDProj[[#This Row],[★ Ballot Cards]]/250</f>
        <v>4</v>
      </c>
      <c r="U429" s="38">
        <f>EDProj[[#This Row],[★ Soft Case (ADA) Voting Machines]]+EDProj[[#This Row],[Old EPB Allocation]]</f>
        <v>5</v>
      </c>
      <c r="V429" s="38">
        <f>EDProj[[#This Row],[Tables Needed]]</f>
        <v>5</v>
      </c>
      <c r="W429" s="27">
        <v>10</v>
      </c>
      <c r="X429" s="27">
        <v>10</v>
      </c>
      <c r="Y429" s="23">
        <f>ROUNDUP(IF(EDProj[[#This Row],[Tables Needed]]-EDProj[[#This Row],[Tables Provided by the Vote Center]]&lt;0,0,EDProj[[#This Row],[Tables Needed]]-EDProj[[#This Row],[Tables Provided by the Vote Center]]),0)</f>
        <v>0</v>
      </c>
      <c r="Z429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430" spans="1:26" ht="13.9">
      <c r="A430" s="23" t="s">
        <v>294</v>
      </c>
      <c r="B430" s="24" t="s">
        <v>295</v>
      </c>
      <c r="C430" s="73" t="s">
        <v>1022</v>
      </c>
      <c r="D430" s="25" t="s">
        <v>1047</v>
      </c>
      <c r="E430" s="26" t="s">
        <v>1048</v>
      </c>
      <c r="F430" s="92">
        <v>389</v>
      </c>
      <c r="G430" s="27">
        <v>4</v>
      </c>
      <c r="H430" s="27">
        <v>4</v>
      </c>
      <c r="I430" s="27">
        <v>6</v>
      </c>
      <c r="J430" s="27">
        <v>1</v>
      </c>
      <c r="K430" s="27">
        <v>0</v>
      </c>
      <c r="L430" s="27">
        <v>0</v>
      </c>
      <c r="M430" s="23">
        <f>SUM(EDProj[[#This Row],[★ Hard Case Voting Machines]:[★ Curbside (Rollie) Voting Machine]])</f>
        <v>7</v>
      </c>
      <c r="N430" s="23">
        <v>1</v>
      </c>
      <c r="O430" s="27">
        <v>5</v>
      </c>
      <c r="P430" s="27">
        <v>1</v>
      </c>
      <c r="Q430" s="23">
        <v>1</v>
      </c>
      <c r="R430" s="27">
        <f>EDProj[[#This Row],[★ Judge]]+EDProj[[#This Row],[★ Alt Judge]]+EDProj[[#This Row],[★ Clerks]]</f>
        <v>7</v>
      </c>
      <c r="S430" s="28">
        <v>750</v>
      </c>
      <c r="T430" s="23">
        <f>EDProj[[#This Row],[★ Ballot Cards]]/250</f>
        <v>3</v>
      </c>
      <c r="U430" s="38">
        <f>EDProj[[#This Row],[★ Soft Case (ADA) Voting Machines]]+EDProj[[#This Row],[Old EPB Allocation]]</f>
        <v>5</v>
      </c>
      <c r="V430" s="38">
        <f>EDProj[[#This Row],[Tables Needed]]</f>
        <v>5</v>
      </c>
      <c r="W430" s="27">
        <v>0</v>
      </c>
      <c r="X430" s="27">
        <v>0</v>
      </c>
      <c r="Y430" s="23">
        <f>ROUNDUP(IF(EDProj[[#This Row],[Tables Needed]]-EDProj[[#This Row],[Tables Provided by the Vote Center]]&lt;0,0,EDProj[[#This Row],[Tables Needed]]-EDProj[[#This Row],[Tables Provided by the Vote Center]]),0)</f>
        <v>5</v>
      </c>
      <c r="Z430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431" spans="1:26" ht="13.9">
      <c r="A431" s="23" t="s">
        <v>113</v>
      </c>
      <c r="B431" s="24" t="s">
        <v>175</v>
      </c>
      <c r="C431" s="73" t="s">
        <v>1022</v>
      </c>
      <c r="D431" s="30" t="s">
        <v>174</v>
      </c>
      <c r="E431" s="31" t="s">
        <v>176</v>
      </c>
      <c r="F431" s="93">
        <v>2033</v>
      </c>
      <c r="G431" s="27">
        <v>6.833333333333333</v>
      </c>
      <c r="H431" s="27">
        <v>9</v>
      </c>
      <c r="I431" s="27">
        <v>26</v>
      </c>
      <c r="J431" s="27">
        <v>1</v>
      </c>
      <c r="K431" s="27">
        <v>2</v>
      </c>
      <c r="L431" s="27">
        <v>1</v>
      </c>
      <c r="M431" s="23">
        <f>SUM(EDProj[[#This Row],[★ Hard Case Voting Machines]:[★ Curbside (Rollie) Voting Machine]])</f>
        <v>30</v>
      </c>
      <c r="N431" s="23">
        <v>1</v>
      </c>
      <c r="O431" s="27">
        <v>16</v>
      </c>
      <c r="P431" s="27">
        <v>1</v>
      </c>
      <c r="Q431" s="23">
        <v>1</v>
      </c>
      <c r="R431" s="27">
        <f>EDProj[[#This Row],[★ Judge]]+EDProj[[#This Row],[★ Alt Judge]]+EDProj[[#This Row],[★ Clerks]]</f>
        <v>18</v>
      </c>
      <c r="S431" s="28">
        <v>3250</v>
      </c>
      <c r="T431" s="23">
        <f>EDProj[[#This Row],[★ Ballot Cards]]/250</f>
        <v>13</v>
      </c>
      <c r="U431" s="38">
        <f>EDProj[[#This Row],[★ Soft Case (ADA) Voting Machines]]+EDProj[[#This Row],[Old EPB Allocation]]</f>
        <v>7.833333333333333</v>
      </c>
      <c r="V431" s="38">
        <f>EDProj[[#This Row],[Tables Needed]]</f>
        <v>7.833333333333333</v>
      </c>
      <c r="W431" s="27">
        <v>4</v>
      </c>
      <c r="X431" s="27">
        <v>12</v>
      </c>
      <c r="Y431" s="23">
        <f>ROUNDUP(IF(EDProj[[#This Row],[Tables Needed]]-EDProj[[#This Row],[Tables Provided by the Vote Center]]&lt;0,0,EDProj[[#This Row],[Tables Needed]]-EDProj[[#This Row],[Tables Provided by the Vote Center]]),0)</f>
        <v>4</v>
      </c>
      <c r="Z431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432" spans="1:26" ht="13.9">
      <c r="A432" s="23" t="s">
        <v>294</v>
      </c>
      <c r="B432" s="24" t="s">
        <v>295</v>
      </c>
      <c r="C432" s="73" t="s">
        <v>1022</v>
      </c>
      <c r="D432" s="30" t="s">
        <v>1049</v>
      </c>
      <c r="E432" s="31" t="s">
        <v>1050</v>
      </c>
      <c r="F432" s="93">
        <v>221</v>
      </c>
      <c r="G432" s="27">
        <v>4</v>
      </c>
      <c r="H432" s="27">
        <v>4</v>
      </c>
      <c r="I432" s="27">
        <v>3</v>
      </c>
      <c r="J432" s="27">
        <v>1</v>
      </c>
      <c r="K432" s="27">
        <v>0</v>
      </c>
      <c r="L432" s="27">
        <v>0</v>
      </c>
      <c r="M432" s="23">
        <f>SUM(EDProj[[#This Row],[★ Hard Case Voting Machines]:[★ Curbside (Rollie) Voting Machine]])</f>
        <v>4</v>
      </c>
      <c r="N432" s="23">
        <v>1</v>
      </c>
      <c r="O432" s="27">
        <v>4</v>
      </c>
      <c r="P432" s="27">
        <v>1</v>
      </c>
      <c r="Q432" s="23">
        <v>1</v>
      </c>
      <c r="R432" s="27">
        <f>EDProj[[#This Row],[★ Judge]]+EDProj[[#This Row],[★ Alt Judge]]+EDProj[[#This Row],[★ Clerks]]</f>
        <v>6</v>
      </c>
      <c r="S432" s="28">
        <v>500</v>
      </c>
      <c r="T432" s="23">
        <f>EDProj[[#This Row],[★ Ballot Cards]]/250</f>
        <v>2</v>
      </c>
      <c r="U432" s="38">
        <f>EDProj[[#This Row],[★ Soft Case (ADA) Voting Machines]]+EDProj[[#This Row],[Old EPB Allocation]]</f>
        <v>5</v>
      </c>
      <c r="V432" s="38">
        <f>EDProj[[#This Row],[Tables Needed]]</f>
        <v>5</v>
      </c>
      <c r="W432" s="27">
        <v>18</v>
      </c>
      <c r="X432" s="27">
        <v>85</v>
      </c>
      <c r="Y432" s="23">
        <f>ROUNDUP(IF(EDProj[[#This Row],[Tables Needed]]-EDProj[[#This Row],[Tables Provided by the Vote Center]]&lt;0,0,EDProj[[#This Row],[Tables Needed]]-EDProj[[#This Row],[Tables Provided by the Vote Center]]),0)</f>
        <v>0</v>
      </c>
      <c r="Z432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433" spans="1:26" ht="13.9">
      <c r="A433" s="23" t="s">
        <v>294</v>
      </c>
      <c r="B433" s="24" t="s">
        <v>295</v>
      </c>
      <c r="C433" s="73" t="s">
        <v>1022</v>
      </c>
      <c r="D433" s="30" t="s">
        <v>1051</v>
      </c>
      <c r="E433" s="31" t="s">
        <v>1052</v>
      </c>
      <c r="F433" s="93">
        <v>349</v>
      </c>
      <c r="G433" s="27">
        <v>4</v>
      </c>
      <c r="H433" s="27">
        <v>4</v>
      </c>
      <c r="I433" s="27">
        <v>4</v>
      </c>
      <c r="J433" s="27">
        <v>1</v>
      </c>
      <c r="K433" s="27">
        <v>0</v>
      </c>
      <c r="L433" s="27">
        <v>0</v>
      </c>
      <c r="M433" s="23">
        <f>SUM(EDProj[[#This Row],[★ Hard Case Voting Machines]:[★ Curbside (Rollie) Voting Machine]])</f>
        <v>5</v>
      </c>
      <c r="N433" s="23">
        <v>1</v>
      </c>
      <c r="O433" s="27">
        <v>5</v>
      </c>
      <c r="P433" s="27">
        <v>1</v>
      </c>
      <c r="Q433" s="23">
        <v>1</v>
      </c>
      <c r="R433" s="27">
        <f>EDProj[[#This Row],[★ Judge]]+EDProj[[#This Row],[★ Alt Judge]]+EDProj[[#This Row],[★ Clerks]]</f>
        <v>7</v>
      </c>
      <c r="S433" s="28">
        <v>750</v>
      </c>
      <c r="T433" s="23">
        <f>EDProj[[#This Row],[★ Ballot Cards]]/250</f>
        <v>3</v>
      </c>
      <c r="U433" s="38">
        <f>EDProj[[#This Row],[★ Soft Case (ADA) Voting Machines]]+EDProj[[#This Row],[Old EPB Allocation]]</f>
        <v>5</v>
      </c>
      <c r="V433" s="38">
        <f>EDProj[[#This Row],[Tables Needed]]</f>
        <v>5</v>
      </c>
      <c r="W433" s="27">
        <v>0</v>
      </c>
      <c r="X433" s="27">
        <v>0</v>
      </c>
      <c r="Y433" s="23">
        <f>ROUNDUP(IF(EDProj[[#This Row],[Tables Needed]]-EDProj[[#This Row],[Tables Provided by the Vote Center]]&lt;0,0,EDProj[[#This Row],[Tables Needed]]-EDProj[[#This Row],[Tables Provided by the Vote Center]]),0)</f>
        <v>5</v>
      </c>
      <c r="Z433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434" spans="1:26" ht="13.9">
      <c r="A434" s="23" t="s">
        <v>294</v>
      </c>
      <c r="B434" s="24" t="s">
        <v>295</v>
      </c>
      <c r="C434" s="73" t="s">
        <v>1022</v>
      </c>
      <c r="D434" s="30" t="s">
        <v>1053</v>
      </c>
      <c r="E434" s="31" t="s">
        <v>1054</v>
      </c>
      <c r="F434" s="93">
        <v>217</v>
      </c>
      <c r="G434" s="27">
        <v>4</v>
      </c>
      <c r="H434" s="27">
        <v>4</v>
      </c>
      <c r="I434" s="27">
        <v>3</v>
      </c>
      <c r="J434" s="27">
        <v>1</v>
      </c>
      <c r="K434" s="27">
        <v>0</v>
      </c>
      <c r="L434" s="27">
        <v>0</v>
      </c>
      <c r="M434" s="23">
        <f>SUM(EDProj[[#This Row],[★ Hard Case Voting Machines]:[★ Curbside (Rollie) Voting Machine]])</f>
        <v>4</v>
      </c>
      <c r="N434" s="23">
        <v>1</v>
      </c>
      <c r="O434" s="27">
        <v>4</v>
      </c>
      <c r="P434" s="27">
        <v>1</v>
      </c>
      <c r="Q434" s="23">
        <v>1</v>
      </c>
      <c r="R434" s="27">
        <f>EDProj[[#This Row],[★ Judge]]+EDProj[[#This Row],[★ Alt Judge]]+EDProj[[#This Row],[★ Clerks]]</f>
        <v>6</v>
      </c>
      <c r="S434" s="28">
        <v>500</v>
      </c>
      <c r="T434" s="23">
        <f>EDProj[[#This Row],[★ Ballot Cards]]/250</f>
        <v>2</v>
      </c>
      <c r="U434" s="38">
        <f>EDProj[[#This Row],[★ Soft Case (ADA) Voting Machines]]+EDProj[[#This Row],[Old EPB Allocation]]</f>
        <v>5</v>
      </c>
      <c r="V434" s="38">
        <f>EDProj[[#This Row],[Tables Needed]]</f>
        <v>5</v>
      </c>
      <c r="W434" s="27">
        <v>0</v>
      </c>
      <c r="X434" s="27">
        <v>0</v>
      </c>
      <c r="Y434" s="23">
        <f>ROUNDUP(IF(EDProj[[#This Row],[Tables Needed]]-EDProj[[#This Row],[Tables Provided by the Vote Center]]&lt;0,0,EDProj[[#This Row],[Tables Needed]]-EDProj[[#This Row],[Tables Provided by the Vote Center]]),0)</f>
        <v>5</v>
      </c>
      <c r="Z434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435" spans="1:26" ht="13.9">
      <c r="A435" s="23" t="s">
        <v>294</v>
      </c>
      <c r="B435" s="24" t="s">
        <v>295</v>
      </c>
      <c r="C435" s="73" t="s">
        <v>1022</v>
      </c>
      <c r="D435" s="30" t="s">
        <v>1055</v>
      </c>
      <c r="E435" s="31" t="s">
        <v>1056</v>
      </c>
      <c r="F435" s="93">
        <v>299</v>
      </c>
      <c r="G435" s="27">
        <v>4</v>
      </c>
      <c r="H435" s="27">
        <v>4</v>
      </c>
      <c r="I435" s="27">
        <v>5</v>
      </c>
      <c r="J435" s="27">
        <v>1</v>
      </c>
      <c r="K435" s="27">
        <v>0</v>
      </c>
      <c r="L435" s="27">
        <v>1</v>
      </c>
      <c r="M435" s="23">
        <f>SUM(EDProj[[#This Row],[★ Hard Case Voting Machines]:[★ Curbside (Rollie) Voting Machine]])</f>
        <v>7</v>
      </c>
      <c r="N435" s="23">
        <v>1</v>
      </c>
      <c r="O435" s="27">
        <v>5</v>
      </c>
      <c r="P435" s="27">
        <v>1</v>
      </c>
      <c r="Q435" s="23">
        <v>1</v>
      </c>
      <c r="R435" s="27">
        <f>EDProj[[#This Row],[★ Judge]]+EDProj[[#This Row],[★ Alt Judge]]+EDProj[[#This Row],[★ Clerks]]</f>
        <v>7</v>
      </c>
      <c r="S435" s="28">
        <v>500</v>
      </c>
      <c r="T435" s="23">
        <f>EDProj[[#This Row],[★ Ballot Cards]]/250</f>
        <v>2</v>
      </c>
      <c r="U435" s="38">
        <f>EDProj[[#This Row],[★ Soft Case (ADA) Voting Machines]]+EDProj[[#This Row],[Old EPB Allocation]]</f>
        <v>5</v>
      </c>
      <c r="V435" s="38">
        <f>EDProj[[#This Row],[Tables Needed]]</f>
        <v>5</v>
      </c>
      <c r="W435" s="27">
        <v>4</v>
      </c>
      <c r="X435" s="27">
        <v>4</v>
      </c>
      <c r="Y435" s="23">
        <f>ROUNDUP(IF(EDProj[[#This Row],[Tables Needed]]-EDProj[[#This Row],[Tables Provided by the Vote Center]]&lt;0,0,EDProj[[#This Row],[Tables Needed]]-EDProj[[#This Row],[Tables Provided by the Vote Center]]),0)</f>
        <v>1</v>
      </c>
      <c r="Z435" s="23">
        <f>ROUNDUP(IF(EDProj[[#This Row],[Chairs Needed]]-EDProj[[#This Row],[Chairs Provided by the Vote Center]]&lt;0,0,EDProj[[#This Row],[Chairs Needed]]-EDProj[[#This Row],[Chairs Provided by the Vote Center]]),0)</f>
        <v>1</v>
      </c>
    </row>
    <row r="436" spans="1:26" ht="13.9">
      <c r="A436" s="23" t="s">
        <v>294</v>
      </c>
      <c r="B436" s="24" t="s">
        <v>295</v>
      </c>
      <c r="C436" s="73" t="s">
        <v>1022</v>
      </c>
      <c r="D436" s="25" t="s">
        <v>1057</v>
      </c>
      <c r="E436" s="26" t="s">
        <v>1058</v>
      </c>
      <c r="F436" s="92">
        <v>547</v>
      </c>
      <c r="G436" s="27">
        <v>4</v>
      </c>
      <c r="H436" s="27">
        <v>4</v>
      </c>
      <c r="I436" s="27">
        <v>8</v>
      </c>
      <c r="J436" s="27">
        <v>1</v>
      </c>
      <c r="K436" s="27">
        <v>0</v>
      </c>
      <c r="L436" s="27">
        <v>0</v>
      </c>
      <c r="M436" s="23">
        <f>SUM(EDProj[[#This Row],[★ Hard Case Voting Machines]:[★ Curbside (Rollie) Voting Machine]])</f>
        <v>9</v>
      </c>
      <c r="N436" s="23">
        <v>1</v>
      </c>
      <c r="O436" s="27">
        <v>6</v>
      </c>
      <c r="P436" s="27">
        <v>1</v>
      </c>
      <c r="Q436" s="23">
        <v>1</v>
      </c>
      <c r="R436" s="27">
        <f>EDProj[[#This Row],[★ Judge]]+EDProj[[#This Row],[★ Alt Judge]]+EDProj[[#This Row],[★ Clerks]]</f>
        <v>8</v>
      </c>
      <c r="S436" s="28">
        <v>1000</v>
      </c>
      <c r="T436" s="23">
        <f>EDProj[[#This Row],[★ Ballot Cards]]/250</f>
        <v>4</v>
      </c>
      <c r="U436" s="38">
        <f>EDProj[[#This Row],[★ Soft Case (ADA) Voting Machines]]+EDProj[[#This Row],[Old EPB Allocation]]</f>
        <v>5</v>
      </c>
      <c r="V436" s="38">
        <f>EDProj[[#This Row],[Tables Needed]]</f>
        <v>5</v>
      </c>
      <c r="W436" s="27">
        <v>5</v>
      </c>
      <c r="X436" s="27">
        <v>8</v>
      </c>
      <c r="Y436" s="23">
        <f>ROUNDUP(IF(EDProj[[#This Row],[Tables Needed]]-EDProj[[#This Row],[Tables Provided by the Vote Center]]&lt;0,0,EDProj[[#This Row],[Tables Needed]]-EDProj[[#This Row],[Tables Provided by the Vote Center]]),0)</f>
        <v>0</v>
      </c>
      <c r="Z436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437" spans="1:26" ht="13.9">
      <c r="A437" s="23" t="s">
        <v>294</v>
      </c>
      <c r="B437" s="24" t="s">
        <v>295</v>
      </c>
      <c r="C437" s="73" t="s">
        <v>1022</v>
      </c>
      <c r="D437" s="30" t="s">
        <v>1059</v>
      </c>
      <c r="E437" s="31" t="s">
        <v>1060</v>
      </c>
      <c r="F437" s="93">
        <v>223</v>
      </c>
      <c r="G437" s="27">
        <v>4</v>
      </c>
      <c r="H437" s="27">
        <v>4</v>
      </c>
      <c r="I437" s="27">
        <v>3</v>
      </c>
      <c r="J437" s="27">
        <v>1</v>
      </c>
      <c r="K437" s="27">
        <v>0</v>
      </c>
      <c r="L437" s="27">
        <v>0</v>
      </c>
      <c r="M437" s="23">
        <f>SUM(EDProj[[#This Row],[★ Hard Case Voting Machines]:[★ Curbside (Rollie) Voting Machine]])</f>
        <v>4</v>
      </c>
      <c r="N437" s="23">
        <v>1</v>
      </c>
      <c r="O437" s="27">
        <v>4</v>
      </c>
      <c r="P437" s="27">
        <v>1</v>
      </c>
      <c r="Q437" s="23">
        <v>1</v>
      </c>
      <c r="R437" s="27">
        <f>EDProj[[#This Row],[★ Judge]]+EDProj[[#This Row],[★ Alt Judge]]+EDProj[[#This Row],[★ Clerks]]</f>
        <v>6</v>
      </c>
      <c r="S437" s="28">
        <v>500</v>
      </c>
      <c r="T437" s="23">
        <f>EDProj[[#This Row],[★ Ballot Cards]]/250</f>
        <v>2</v>
      </c>
      <c r="U437" s="38">
        <f>EDProj[[#This Row],[★ Soft Case (ADA) Voting Machines]]+EDProj[[#This Row],[Old EPB Allocation]]</f>
        <v>5</v>
      </c>
      <c r="V437" s="38">
        <f>EDProj[[#This Row],[Tables Needed]]</f>
        <v>5</v>
      </c>
      <c r="W437" s="27">
        <v>20</v>
      </c>
      <c r="X437" s="27">
        <v>400</v>
      </c>
      <c r="Y437" s="23">
        <f>ROUNDUP(IF(EDProj[[#This Row],[Tables Needed]]-EDProj[[#This Row],[Tables Provided by the Vote Center]]&lt;0,0,EDProj[[#This Row],[Tables Needed]]-EDProj[[#This Row],[Tables Provided by the Vote Center]]),0)</f>
        <v>0</v>
      </c>
      <c r="Z437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438" spans="1:26" ht="13.9">
      <c r="A438" s="23" t="s">
        <v>294</v>
      </c>
      <c r="B438" s="24" t="s">
        <v>295</v>
      </c>
      <c r="C438" s="73" t="s">
        <v>1022</v>
      </c>
      <c r="D438" s="30" t="s">
        <v>1061</v>
      </c>
      <c r="E438" s="31" t="s">
        <v>1062</v>
      </c>
      <c r="F438" s="93">
        <v>791</v>
      </c>
      <c r="G438" s="27">
        <v>4</v>
      </c>
      <c r="H438" s="27">
        <v>4</v>
      </c>
      <c r="I438" s="27">
        <v>11</v>
      </c>
      <c r="J438" s="27">
        <v>1</v>
      </c>
      <c r="K438" s="27">
        <v>0</v>
      </c>
      <c r="L438" s="27">
        <v>0</v>
      </c>
      <c r="M438" s="23">
        <f>SUM(EDProj[[#This Row],[★ Hard Case Voting Machines]:[★ Curbside (Rollie) Voting Machine]])</f>
        <v>12</v>
      </c>
      <c r="N438" s="23">
        <v>1</v>
      </c>
      <c r="O438" s="27">
        <v>7</v>
      </c>
      <c r="P438" s="27">
        <v>1</v>
      </c>
      <c r="Q438" s="23">
        <v>1</v>
      </c>
      <c r="R438" s="27">
        <f>EDProj[[#This Row],[★ Judge]]+EDProj[[#This Row],[★ Alt Judge]]+EDProj[[#This Row],[★ Clerks]]</f>
        <v>9</v>
      </c>
      <c r="S438" s="28">
        <v>1500</v>
      </c>
      <c r="T438" s="23">
        <f>EDProj[[#This Row],[★ Ballot Cards]]/250</f>
        <v>6</v>
      </c>
      <c r="U438" s="38">
        <f>EDProj[[#This Row],[★ Soft Case (ADA) Voting Machines]]+EDProj[[#This Row],[Old EPB Allocation]]</f>
        <v>5</v>
      </c>
      <c r="V438" s="38">
        <f>EDProj[[#This Row],[Tables Needed]]</f>
        <v>5</v>
      </c>
      <c r="W438" s="27">
        <v>2</v>
      </c>
      <c r="X438" s="27">
        <v>10</v>
      </c>
      <c r="Y438" s="23">
        <f>ROUNDUP(IF(EDProj[[#This Row],[Tables Needed]]-EDProj[[#This Row],[Tables Provided by the Vote Center]]&lt;0,0,EDProj[[#This Row],[Tables Needed]]-EDProj[[#This Row],[Tables Provided by the Vote Center]]),0)</f>
        <v>3</v>
      </c>
      <c r="Z438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439" spans="1:26" ht="13.9">
      <c r="A439" s="23" t="s">
        <v>294</v>
      </c>
      <c r="B439" s="24" t="s">
        <v>295</v>
      </c>
      <c r="C439" s="73" t="s">
        <v>1022</v>
      </c>
      <c r="D439" s="30" t="s">
        <v>1063</v>
      </c>
      <c r="E439" s="31" t="s">
        <v>1064</v>
      </c>
      <c r="F439" s="93">
        <v>454</v>
      </c>
      <c r="G439" s="27">
        <v>4</v>
      </c>
      <c r="H439" s="27">
        <v>4</v>
      </c>
      <c r="I439" s="27">
        <v>7</v>
      </c>
      <c r="J439" s="27">
        <v>1</v>
      </c>
      <c r="K439" s="27">
        <v>0</v>
      </c>
      <c r="L439" s="27">
        <v>0</v>
      </c>
      <c r="M439" s="23">
        <f>SUM(EDProj[[#This Row],[★ Hard Case Voting Machines]:[★ Curbside (Rollie) Voting Machine]])</f>
        <v>8</v>
      </c>
      <c r="N439" s="23">
        <v>1</v>
      </c>
      <c r="O439" s="27">
        <v>5</v>
      </c>
      <c r="P439" s="27">
        <v>1</v>
      </c>
      <c r="Q439" s="23">
        <v>1</v>
      </c>
      <c r="R439" s="27">
        <f>EDProj[[#This Row],[★ Judge]]+EDProj[[#This Row],[★ Alt Judge]]+EDProj[[#This Row],[★ Clerks]]</f>
        <v>7</v>
      </c>
      <c r="S439" s="28">
        <v>750</v>
      </c>
      <c r="T439" s="23">
        <f>EDProj[[#This Row],[★ Ballot Cards]]/250</f>
        <v>3</v>
      </c>
      <c r="U439" s="38">
        <f>EDProj[[#This Row],[★ Soft Case (ADA) Voting Machines]]+EDProj[[#This Row],[Old EPB Allocation]]</f>
        <v>5</v>
      </c>
      <c r="V439" s="38">
        <f>EDProj[[#This Row],[Tables Needed]]</f>
        <v>5</v>
      </c>
      <c r="W439" s="27">
        <v>2</v>
      </c>
      <c r="X439" s="27">
        <v>4</v>
      </c>
      <c r="Y439" s="23">
        <f>ROUNDUP(IF(EDProj[[#This Row],[Tables Needed]]-EDProj[[#This Row],[Tables Provided by the Vote Center]]&lt;0,0,EDProj[[#This Row],[Tables Needed]]-EDProj[[#This Row],[Tables Provided by the Vote Center]]),0)</f>
        <v>3</v>
      </c>
      <c r="Z439" s="23">
        <f>ROUNDUP(IF(EDProj[[#This Row],[Chairs Needed]]-EDProj[[#This Row],[Chairs Provided by the Vote Center]]&lt;0,0,EDProj[[#This Row],[Chairs Needed]]-EDProj[[#This Row],[Chairs Provided by the Vote Center]]),0)</f>
        <v>1</v>
      </c>
    </row>
    <row r="440" spans="1:26" ht="13.9">
      <c r="A440" s="23" t="s">
        <v>294</v>
      </c>
      <c r="B440" s="24" t="s">
        <v>295</v>
      </c>
      <c r="C440" s="73" t="s">
        <v>1022</v>
      </c>
      <c r="D440" s="30" t="s">
        <v>1065</v>
      </c>
      <c r="E440" s="31" t="s">
        <v>1066</v>
      </c>
      <c r="F440" s="93">
        <v>444</v>
      </c>
      <c r="G440" s="27">
        <v>4</v>
      </c>
      <c r="H440" s="27">
        <v>4</v>
      </c>
      <c r="I440" s="27">
        <v>6</v>
      </c>
      <c r="J440" s="27">
        <v>1</v>
      </c>
      <c r="K440" s="27">
        <v>0</v>
      </c>
      <c r="L440" s="27">
        <v>0</v>
      </c>
      <c r="M440" s="23">
        <f>SUM(EDProj[[#This Row],[★ Hard Case Voting Machines]:[★ Curbside (Rollie) Voting Machine]])</f>
        <v>7</v>
      </c>
      <c r="N440" s="23">
        <v>1</v>
      </c>
      <c r="O440" s="27">
        <v>5</v>
      </c>
      <c r="P440" s="23">
        <v>1</v>
      </c>
      <c r="Q440" s="23">
        <v>1</v>
      </c>
      <c r="R440" s="27">
        <f>EDProj[[#This Row],[★ Judge]]+EDProj[[#This Row],[★ Alt Judge]]+EDProj[[#This Row],[★ Clerks]]</f>
        <v>7</v>
      </c>
      <c r="S440" s="28">
        <v>750</v>
      </c>
      <c r="T440" s="23">
        <f>EDProj[[#This Row],[★ Ballot Cards]]/250</f>
        <v>3</v>
      </c>
      <c r="U440" s="38">
        <f>EDProj[[#This Row],[★ Soft Case (ADA) Voting Machines]]+EDProj[[#This Row],[Old EPB Allocation]]</f>
        <v>5</v>
      </c>
      <c r="V440" s="38">
        <f>EDProj[[#This Row],[Tables Needed]]</f>
        <v>5</v>
      </c>
      <c r="W440" s="27">
        <v>4</v>
      </c>
      <c r="X440" s="27">
        <v>10</v>
      </c>
      <c r="Y440" s="23">
        <f>ROUNDUP(IF(EDProj[[#This Row],[Tables Needed]]-EDProj[[#This Row],[Tables Provided by the Vote Center]]&lt;0,0,EDProj[[#This Row],[Tables Needed]]-EDProj[[#This Row],[Tables Provided by the Vote Center]]),0)</f>
        <v>1</v>
      </c>
      <c r="Z440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441" spans="1:26" ht="13.9">
      <c r="A441" s="23" t="s">
        <v>294</v>
      </c>
      <c r="B441" s="24" t="s">
        <v>295</v>
      </c>
      <c r="C441" s="73" t="s">
        <v>1022</v>
      </c>
      <c r="D441" s="30" t="s">
        <v>1067</v>
      </c>
      <c r="E441" s="31" t="s">
        <v>1068</v>
      </c>
      <c r="F441" s="93">
        <v>494</v>
      </c>
      <c r="G441" s="27">
        <v>4</v>
      </c>
      <c r="H441" s="27">
        <v>4</v>
      </c>
      <c r="I441" s="27">
        <v>7</v>
      </c>
      <c r="J441" s="27">
        <v>1</v>
      </c>
      <c r="K441" s="27">
        <v>0</v>
      </c>
      <c r="L441" s="27">
        <v>0</v>
      </c>
      <c r="M441" s="23">
        <f>SUM(EDProj[[#This Row],[★ Hard Case Voting Machines]:[★ Curbside (Rollie) Voting Machine]])</f>
        <v>8</v>
      </c>
      <c r="N441" s="23">
        <v>1</v>
      </c>
      <c r="O441" s="27">
        <v>5</v>
      </c>
      <c r="P441" s="23">
        <v>1</v>
      </c>
      <c r="Q441" s="23">
        <v>1</v>
      </c>
      <c r="R441" s="27">
        <f>EDProj[[#This Row],[★ Judge]]+EDProj[[#This Row],[★ Alt Judge]]+EDProj[[#This Row],[★ Clerks]]</f>
        <v>7</v>
      </c>
      <c r="S441" s="28">
        <v>1000</v>
      </c>
      <c r="T441" s="23">
        <f>EDProj[[#This Row],[★ Ballot Cards]]/250</f>
        <v>4</v>
      </c>
      <c r="U441" s="38">
        <f>EDProj[[#This Row],[★ Soft Case (ADA) Voting Machines]]+EDProj[[#This Row],[Old EPB Allocation]]</f>
        <v>5</v>
      </c>
      <c r="V441" s="38">
        <f>EDProj[[#This Row],[Tables Needed]]</f>
        <v>5</v>
      </c>
      <c r="W441" s="27">
        <v>0</v>
      </c>
      <c r="X441" s="27">
        <v>0</v>
      </c>
      <c r="Y441" s="23">
        <f>ROUNDUP(IF(EDProj[[#This Row],[Tables Needed]]-EDProj[[#This Row],[Tables Provided by the Vote Center]]&lt;0,0,EDProj[[#This Row],[Tables Needed]]-EDProj[[#This Row],[Tables Provided by the Vote Center]]),0)</f>
        <v>5</v>
      </c>
      <c r="Z441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442" spans="1:26" ht="13.9">
      <c r="A442" s="23" t="s">
        <v>294</v>
      </c>
      <c r="B442" s="24" t="s">
        <v>295</v>
      </c>
      <c r="C442" s="73" t="s">
        <v>1022</v>
      </c>
      <c r="D442" s="30" t="s">
        <v>1069</v>
      </c>
      <c r="E442" s="31" t="s">
        <v>1070</v>
      </c>
      <c r="F442" s="93">
        <v>563</v>
      </c>
      <c r="G442" s="27">
        <v>4</v>
      </c>
      <c r="H442" s="27">
        <v>4</v>
      </c>
      <c r="I442" s="27">
        <v>8</v>
      </c>
      <c r="J442" s="27">
        <v>1</v>
      </c>
      <c r="K442" s="27">
        <v>0</v>
      </c>
      <c r="L442" s="27">
        <v>0</v>
      </c>
      <c r="M442" s="23">
        <f>SUM(EDProj[[#This Row],[★ Hard Case Voting Machines]:[★ Curbside (Rollie) Voting Machine]])</f>
        <v>9</v>
      </c>
      <c r="N442" s="23">
        <v>1</v>
      </c>
      <c r="O442" s="27">
        <v>6</v>
      </c>
      <c r="P442" s="23">
        <v>1</v>
      </c>
      <c r="Q442" s="23">
        <v>1</v>
      </c>
      <c r="R442" s="27">
        <f>EDProj[[#This Row],[★ Judge]]+EDProj[[#This Row],[★ Alt Judge]]+EDProj[[#This Row],[★ Clerks]]</f>
        <v>8</v>
      </c>
      <c r="S442" s="28">
        <v>1000</v>
      </c>
      <c r="T442" s="23">
        <f>EDProj[[#This Row],[★ Ballot Cards]]/250</f>
        <v>4</v>
      </c>
      <c r="U442" s="38">
        <f>EDProj[[#This Row],[★ Soft Case (ADA) Voting Machines]]+EDProj[[#This Row],[Old EPB Allocation]]</f>
        <v>5</v>
      </c>
      <c r="V442" s="38">
        <f>EDProj[[#This Row],[Tables Needed]]</f>
        <v>5</v>
      </c>
      <c r="W442" s="27">
        <v>1</v>
      </c>
      <c r="X442" s="27">
        <v>4</v>
      </c>
      <c r="Y442" s="23">
        <f>ROUNDUP(IF(EDProj[[#This Row],[Tables Needed]]-EDProj[[#This Row],[Tables Provided by the Vote Center]]&lt;0,0,EDProj[[#This Row],[Tables Needed]]-EDProj[[#This Row],[Tables Provided by the Vote Center]]),0)</f>
        <v>4</v>
      </c>
      <c r="Z442" s="23">
        <f>ROUNDUP(IF(EDProj[[#This Row],[Chairs Needed]]-EDProj[[#This Row],[Chairs Provided by the Vote Center]]&lt;0,0,EDProj[[#This Row],[Chairs Needed]]-EDProj[[#This Row],[Chairs Provided by the Vote Center]]),0)</f>
        <v>1</v>
      </c>
    </row>
    <row r="443" spans="1:26" ht="13.9">
      <c r="A443" s="23" t="s">
        <v>294</v>
      </c>
      <c r="B443" s="24" t="s">
        <v>295</v>
      </c>
      <c r="C443" s="73" t="s">
        <v>1022</v>
      </c>
      <c r="D443" s="30" t="s">
        <v>1071</v>
      </c>
      <c r="E443" s="31" t="s">
        <v>1072</v>
      </c>
      <c r="F443" s="93">
        <v>700</v>
      </c>
      <c r="G443" s="27">
        <v>4</v>
      </c>
      <c r="H443" s="27">
        <v>4</v>
      </c>
      <c r="I443" s="27">
        <v>10</v>
      </c>
      <c r="J443" s="27">
        <v>1</v>
      </c>
      <c r="K443" s="27">
        <v>0</v>
      </c>
      <c r="L443" s="27">
        <v>0</v>
      </c>
      <c r="M443" s="23">
        <f>SUM(EDProj[[#This Row],[★ Hard Case Voting Machines]:[★ Curbside (Rollie) Voting Machine]])</f>
        <v>11</v>
      </c>
      <c r="N443" s="23">
        <v>1</v>
      </c>
      <c r="O443" s="27">
        <v>6</v>
      </c>
      <c r="P443" s="23">
        <v>1</v>
      </c>
      <c r="Q443" s="23">
        <v>1</v>
      </c>
      <c r="R443" s="27">
        <f>EDProj[[#This Row],[★ Judge]]+EDProj[[#This Row],[★ Alt Judge]]+EDProj[[#This Row],[★ Clerks]]</f>
        <v>8</v>
      </c>
      <c r="S443" s="28">
        <v>1250</v>
      </c>
      <c r="T443" s="23">
        <f>EDProj[[#This Row],[★ Ballot Cards]]/250</f>
        <v>5</v>
      </c>
      <c r="U443" s="38">
        <f>EDProj[[#This Row],[★ Soft Case (ADA) Voting Machines]]+EDProj[[#This Row],[Old EPB Allocation]]</f>
        <v>5</v>
      </c>
      <c r="V443" s="38">
        <f>EDProj[[#This Row],[Tables Needed]]</f>
        <v>5</v>
      </c>
      <c r="W443" s="27">
        <v>0</v>
      </c>
      <c r="X443" s="27">
        <v>0</v>
      </c>
      <c r="Y443" s="23">
        <f>ROUNDUP(IF(EDProj[[#This Row],[Tables Needed]]-EDProj[[#This Row],[Tables Provided by the Vote Center]]&lt;0,0,EDProj[[#This Row],[Tables Needed]]-EDProj[[#This Row],[Tables Provided by the Vote Center]]),0)</f>
        <v>5</v>
      </c>
      <c r="Z443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444" spans="1:26" ht="13.9">
      <c r="A444" s="23" t="s">
        <v>294</v>
      </c>
      <c r="B444" s="24" t="s">
        <v>295</v>
      </c>
      <c r="C444" s="73" t="s">
        <v>1022</v>
      </c>
      <c r="D444" s="25" t="s">
        <v>1073</v>
      </c>
      <c r="E444" s="26" t="s">
        <v>1074</v>
      </c>
      <c r="F444" s="92">
        <v>412</v>
      </c>
      <c r="G444" s="27">
        <v>4</v>
      </c>
      <c r="H444" s="27">
        <v>4</v>
      </c>
      <c r="I444" s="27">
        <v>6</v>
      </c>
      <c r="J444" s="27">
        <v>1</v>
      </c>
      <c r="K444" s="27">
        <v>0</v>
      </c>
      <c r="L444" s="27">
        <v>0</v>
      </c>
      <c r="M444" s="23">
        <f>SUM(EDProj[[#This Row],[★ Hard Case Voting Machines]:[★ Curbside (Rollie) Voting Machine]])</f>
        <v>7</v>
      </c>
      <c r="N444" s="23">
        <v>1</v>
      </c>
      <c r="O444" s="27">
        <v>5</v>
      </c>
      <c r="P444" s="23">
        <v>1</v>
      </c>
      <c r="Q444" s="23">
        <v>1</v>
      </c>
      <c r="R444" s="27">
        <f>EDProj[[#This Row],[★ Judge]]+EDProj[[#This Row],[★ Alt Judge]]+EDProj[[#This Row],[★ Clerks]]</f>
        <v>7</v>
      </c>
      <c r="S444" s="28">
        <v>750</v>
      </c>
      <c r="T444" s="23">
        <f>EDProj[[#This Row],[★ Ballot Cards]]/250</f>
        <v>3</v>
      </c>
      <c r="U444" s="38">
        <f>EDProj[[#This Row],[★ Soft Case (ADA) Voting Machines]]+EDProj[[#This Row],[Old EPB Allocation]]</f>
        <v>5</v>
      </c>
      <c r="V444" s="38">
        <f>EDProj[[#This Row],[Tables Needed]]</f>
        <v>5</v>
      </c>
      <c r="W444" s="27">
        <v>0</v>
      </c>
      <c r="X444" s="27">
        <v>0</v>
      </c>
      <c r="Y444" s="23">
        <f>ROUNDUP(IF(EDProj[[#This Row],[Tables Needed]]-EDProj[[#This Row],[Tables Provided by the Vote Center]]&lt;0,0,EDProj[[#This Row],[Tables Needed]]-EDProj[[#This Row],[Tables Provided by the Vote Center]]),0)</f>
        <v>5</v>
      </c>
      <c r="Z444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445" spans="1:26" ht="13.9">
      <c r="A445" s="23" t="s">
        <v>294</v>
      </c>
      <c r="B445" s="24" t="s">
        <v>295</v>
      </c>
      <c r="C445" s="73" t="s">
        <v>1022</v>
      </c>
      <c r="D445" s="25" t="s">
        <v>1075</v>
      </c>
      <c r="E445" s="26" t="s">
        <v>1076</v>
      </c>
      <c r="F445" s="92">
        <v>488</v>
      </c>
      <c r="G445" s="27">
        <v>4</v>
      </c>
      <c r="H445" s="27">
        <v>4</v>
      </c>
      <c r="I445" s="27">
        <v>7</v>
      </c>
      <c r="J445" s="27">
        <v>1</v>
      </c>
      <c r="K445" s="27">
        <v>0</v>
      </c>
      <c r="L445" s="27">
        <v>0</v>
      </c>
      <c r="M445" s="23">
        <f>SUM(EDProj[[#This Row],[★ Hard Case Voting Machines]:[★ Curbside (Rollie) Voting Machine]])</f>
        <v>8</v>
      </c>
      <c r="N445" s="23">
        <v>1</v>
      </c>
      <c r="O445" s="27">
        <v>5</v>
      </c>
      <c r="P445" s="23">
        <v>1</v>
      </c>
      <c r="Q445" s="23">
        <v>1</v>
      </c>
      <c r="R445" s="27">
        <f>EDProj[[#This Row],[★ Judge]]+EDProj[[#This Row],[★ Alt Judge]]+EDProj[[#This Row],[★ Clerks]]</f>
        <v>7</v>
      </c>
      <c r="S445" s="28">
        <v>1000</v>
      </c>
      <c r="T445" s="23">
        <f>EDProj[[#This Row],[★ Ballot Cards]]/250</f>
        <v>4</v>
      </c>
      <c r="U445" s="38">
        <f>EDProj[[#This Row],[★ Soft Case (ADA) Voting Machines]]+EDProj[[#This Row],[Old EPB Allocation]]</f>
        <v>5</v>
      </c>
      <c r="V445" s="38">
        <f>EDProj[[#This Row],[Tables Needed]]</f>
        <v>5</v>
      </c>
      <c r="W445" s="27">
        <v>0</v>
      </c>
      <c r="X445" s="27">
        <v>0</v>
      </c>
      <c r="Y445" s="23">
        <f>ROUNDUP(IF(EDProj[[#This Row],[Tables Needed]]-EDProj[[#This Row],[Tables Provided by the Vote Center]]&lt;0,0,EDProj[[#This Row],[Tables Needed]]-EDProj[[#This Row],[Tables Provided by the Vote Center]]),0)</f>
        <v>5</v>
      </c>
      <c r="Z445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446" spans="1:26" ht="13.9">
      <c r="A446" s="23" t="s">
        <v>294</v>
      </c>
      <c r="B446" s="40" t="s">
        <v>295</v>
      </c>
      <c r="C446" s="75" t="s">
        <v>1022</v>
      </c>
      <c r="D446" s="41" t="s">
        <v>1077</v>
      </c>
      <c r="E446" s="42" t="s">
        <v>1078</v>
      </c>
      <c r="F446" s="96">
        <v>701</v>
      </c>
      <c r="G446" s="43">
        <v>4</v>
      </c>
      <c r="H446" s="43">
        <v>4</v>
      </c>
      <c r="I446" s="43">
        <v>9</v>
      </c>
      <c r="J446" s="43">
        <v>1</v>
      </c>
      <c r="K446" s="43">
        <v>0</v>
      </c>
      <c r="L446" s="27">
        <v>0</v>
      </c>
      <c r="M446" s="40">
        <f>SUM(EDProj[[#This Row],[★ Hard Case Voting Machines]:[★ Curbside (Rollie) Voting Machine]])</f>
        <v>10</v>
      </c>
      <c r="N446" s="40">
        <v>1</v>
      </c>
      <c r="O446" s="43">
        <v>6</v>
      </c>
      <c r="P446" s="40">
        <v>1</v>
      </c>
      <c r="Q446" s="40">
        <v>1</v>
      </c>
      <c r="R446" s="43">
        <f>EDProj[[#This Row],[★ Judge]]+EDProj[[#This Row],[★ Alt Judge]]+EDProj[[#This Row],[★ Clerks]]</f>
        <v>8</v>
      </c>
      <c r="S446" s="44">
        <v>1250</v>
      </c>
      <c r="T446" s="40">
        <f>EDProj[[#This Row],[★ Ballot Cards]]/250</f>
        <v>5</v>
      </c>
      <c r="U446" s="38">
        <f>EDProj[[#This Row],[★ Soft Case (ADA) Voting Machines]]+EDProj[[#This Row],[Old EPB Allocation]]</f>
        <v>5</v>
      </c>
      <c r="V446" s="38">
        <f>EDProj[[#This Row],[Tables Needed]]</f>
        <v>5</v>
      </c>
      <c r="W446" s="43">
        <v>4</v>
      </c>
      <c r="X446" s="43">
        <v>6</v>
      </c>
      <c r="Y446" s="40">
        <f>ROUNDUP(IF(EDProj[[#This Row],[Tables Needed]]-EDProj[[#This Row],[Tables Provided by the Vote Center]]&lt;0,0,EDProj[[#This Row],[Tables Needed]]-EDProj[[#This Row],[Tables Provided by the Vote Center]]),0)</f>
        <v>1</v>
      </c>
      <c r="Z446" s="40">
        <f>ROUNDUP(IF(EDProj[[#This Row],[Chairs Needed]]-EDProj[[#This Row],[Chairs Provided by the Vote Center]]&lt;0,0,EDProj[[#This Row],[Chairs Needed]]-EDProj[[#This Row],[Chairs Provided by the Vote Center]]),0)</f>
        <v>0</v>
      </c>
    </row>
    <row r="447" spans="1:26" ht="13.9">
      <c r="A447" s="23" t="s">
        <v>294</v>
      </c>
      <c r="B447" s="23" t="s">
        <v>295</v>
      </c>
      <c r="C447" s="76" t="s">
        <v>1022</v>
      </c>
      <c r="D447" s="45" t="s">
        <v>1079</v>
      </c>
      <c r="E447" s="46" t="s">
        <v>1080</v>
      </c>
      <c r="F447" s="97">
        <v>468</v>
      </c>
      <c r="G447" s="27">
        <v>4</v>
      </c>
      <c r="H447" s="27">
        <v>4</v>
      </c>
      <c r="I447" s="27">
        <v>7</v>
      </c>
      <c r="J447" s="27">
        <v>1</v>
      </c>
      <c r="K447" s="27">
        <v>0</v>
      </c>
      <c r="L447" s="27">
        <v>0</v>
      </c>
      <c r="M447" s="23">
        <f>SUM(EDProj[[#This Row],[★ Hard Case Voting Machines]:[★ Curbside (Rollie) Voting Machine]])</f>
        <v>8</v>
      </c>
      <c r="N447" s="23">
        <v>1</v>
      </c>
      <c r="O447" s="27">
        <v>5</v>
      </c>
      <c r="P447" s="23">
        <v>1</v>
      </c>
      <c r="Q447" s="23">
        <v>1</v>
      </c>
      <c r="R447" s="27">
        <f>EDProj[[#This Row],[★ Judge]]+EDProj[[#This Row],[★ Alt Judge]]+EDProj[[#This Row],[★ Clerks]]</f>
        <v>7</v>
      </c>
      <c r="S447" s="28">
        <v>750</v>
      </c>
      <c r="T447" s="23">
        <f>EDProj[[#This Row],[★ Ballot Cards]]/250</f>
        <v>3</v>
      </c>
      <c r="U447" s="38">
        <f>EDProj[[#This Row],[★ Soft Case (ADA) Voting Machines]]+EDProj[[#This Row],[Old EPB Allocation]]</f>
        <v>5</v>
      </c>
      <c r="V447" s="38">
        <f>EDProj[[#This Row],[Tables Needed]]</f>
        <v>5</v>
      </c>
      <c r="W447" s="27">
        <v>0</v>
      </c>
      <c r="X447" s="27">
        <v>0</v>
      </c>
      <c r="Y447" s="23">
        <f>ROUNDUP(IF(EDProj[[#This Row],[Tables Needed]]-EDProj[[#This Row],[Tables Provided by the Vote Center]]&lt;0,0,EDProj[[#This Row],[Tables Needed]]-EDProj[[#This Row],[Tables Provided by the Vote Center]]),0)</f>
        <v>5</v>
      </c>
      <c r="Z447" s="23">
        <f>ROUNDUP(IF(EDProj[[#This Row],[Chairs Needed]]-EDProj[[#This Row],[Chairs Provided by the Vote Center]]&lt;0,0,EDProj[[#This Row],[Chairs Needed]]-EDProj[[#This Row],[Chairs Provided by the Vote Center]]),0)</f>
        <v>5</v>
      </c>
    </row>
    <row r="448" spans="1:26" ht="13.9">
      <c r="A448" s="23" t="s">
        <v>294</v>
      </c>
      <c r="B448" s="23" t="s">
        <v>295</v>
      </c>
      <c r="C448" s="76" t="s">
        <v>1022</v>
      </c>
      <c r="D448" s="45" t="s">
        <v>1081</v>
      </c>
      <c r="E448" s="46" t="s">
        <v>1082</v>
      </c>
      <c r="F448" s="97">
        <v>586</v>
      </c>
      <c r="G448" s="27">
        <v>4</v>
      </c>
      <c r="H448" s="27">
        <v>4</v>
      </c>
      <c r="I448" s="27">
        <v>8</v>
      </c>
      <c r="J448" s="27">
        <v>1</v>
      </c>
      <c r="K448" s="27">
        <v>0</v>
      </c>
      <c r="L448" s="27">
        <v>0</v>
      </c>
      <c r="M448" s="23">
        <f>SUM(EDProj[[#This Row],[★ Hard Case Voting Machines]:[★ Curbside (Rollie) Voting Machine]])</f>
        <v>9</v>
      </c>
      <c r="N448" s="23">
        <v>1</v>
      </c>
      <c r="O448" s="27">
        <v>6</v>
      </c>
      <c r="P448" s="23">
        <v>1</v>
      </c>
      <c r="Q448" s="23">
        <v>1</v>
      </c>
      <c r="R448" s="27">
        <f>EDProj[[#This Row],[★ Judge]]+EDProj[[#This Row],[★ Alt Judge]]+EDProj[[#This Row],[★ Clerks]]</f>
        <v>8</v>
      </c>
      <c r="S448" s="28">
        <v>1000</v>
      </c>
      <c r="T448" s="23">
        <f>EDProj[[#This Row],[★ Ballot Cards]]/250</f>
        <v>4</v>
      </c>
      <c r="U448" s="38">
        <f>EDProj[[#This Row],[★ Soft Case (ADA) Voting Machines]]+EDProj[[#This Row],[Old EPB Allocation]]</f>
        <v>5</v>
      </c>
      <c r="V448" s="38">
        <f>EDProj[[#This Row],[Tables Needed]]</f>
        <v>5</v>
      </c>
      <c r="W448" s="27">
        <v>3</v>
      </c>
      <c r="X448" s="27">
        <v>4</v>
      </c>
      <c r="Y448" s="23">
        <f>ROUNDUP(IF(EDProj[[#This Row],[Tables Needed]]-EDProj[[#This Row],[Tables Provided by the Vote Center]]&lt;0,0,EDProj[[#This Row],[Tables Needed]]-EDProj[[#This Row],[Tables Provided by the Vote Center]]),0)</f>
        <v>2</v>
      </c>
      <c r="Z448" s="23">
        <f>ROUNDUP(IF(EDProj[[#This Row],[Chairs Needed]]-EDProj[[#This Row],[Chairs Provided by the Vote Center]]&lt;0,0,EDProj[[#This Row],[Chairs Needed]]-EDProj[[#This Row],[Chairs Provided by the Vote Center]]),0)</f>
        <v>1</v>
      </c>
    </row>
    <row r="449" spans="1:26" ht="13.9">
      <c r="A449" s="23" t="s">
        <v>294</v>
      </c>
      <c r="B449" s="23" t="s">
        <v>295</v>
      </c>
      <c r="C449" s="76" t="s">
        <v>1022</v>
      </c>
      <c r="D449" s="45" t="s">
        <v>1083</v>
      </c>
      <c r="E449" s="46" t="s">
        <v>1084</v>
      </c>
      <c r="F449" s="97">
        <v>555</v>
      </c>
      <c r="G449" s="27">
        <v>4</v>
      </c>
      <c r="H449" s="27">
        <v>4</v>
      </c>
      <c r="I449" s="27">
        <v>7</v>
      </c>
      <c r="J449" s="27">
        <v>1</v>
      </c>
      <c r="K449" s="27">
        <v>0</v>
      </c>
      <c r="L449" s="27">
        <v>0</v>
      </c>
      <c r="M449" s="23">
        <f>SUM(EDProj[[#This Row],[★ Hard Case Voting Machines]:[★ Curbside (Rollie) Voting Machine]])</f>
        <v>8</v>
      </c>
      <c r="N449" s="23">
        <v>1</v>
      </c>
      <c r="O449" s="27">
        <v>6</v>
      </c>
      <c r="P449" s="23">
        <v>1</v>
      </c>
      <c r="Q449" s="23">
        <v>1</v>
      </c>
      <c r="R449" s="27">
        <f>EDProj[[#This Row],[★ Judge]]+EDProj[[#This Row],[★ Alt Judge]]+EDProj[[#This Row],[★ Clerks]]</f>
        <v>8</v>
      </c>
      <c r="S449" s="28">
        <v>1000</v>
      </c>
      <c r="T449" s="23">
        <f>EDProj[[#This Row],[★ Ballot Cards]]/250</f>
        <v>4</v>
      </c>
      <c r="U449" s="38">
        <f>EDProj[[#This Row],[★ Soft Case (ADA) Voting Machines]]+EDProj[[#This Row],[Old EPB Allocation]]</f>
        <v>5</v>
      </c>
      <c r="V449" s="38">
        <f>EDProj[[#This Row],[Tables Needed]]</f>
        <v>5</v>
      </c>
      <c r="W449" s="27">
        <v>2</v>
      </c>
      <c r="X449" s="27">
        <v>4</v>
      </c>
      <c r="Y449" s="23">
        <f>ROUNDUP(IF(EDProj[[#This Row],[Tables Needed]]-EDProj[[#This Row],[Tables Provided by the Vote Center]]&lt;0,0,EDProj[[#This Row],[Tables Needed]]-EDProj[[#This Row],[Tables Provided by the Vote Center]]),0)</f>
        <v>3</v>
      </c>
      <c r="Z449" s="23">
        <f>ROUNDUP(IF(EDProj[[#This Row],[Chairs Needed]]-EDProj[[#This Row],[Chairs Provided by the Vote Center]]&lt;0,0,EDProj[[#This Row],[Chairs Needed]]-EDProj[[#This Row],[Chairs Provided by the Vote Center]]),0)</f>
        <v>1</v>
      </c>
    </row>
    <row r="450" spans="1:26" ht="13.9">
      <c r="A450" s="23" t="s">
        <v>294</v>
      </c>
      <c r="B450" s="23" t="s">
        <v>295</v>
      </c>
      <c r="C450" s="76" t="s">
        <v>1022</v>
      </c>
      <c r="D450" s="45" t="s">
        <v>1085</v>
      </c>
      <c r="E450" s="46" t="s">
        <v>1086</v>
      </c>
      <c r="F450" s="97">
        <v>648</v>
      </c>
      <c r="G450" s="27">
        <v>4</v>
      </c>
      <c r="H450" s="27">
        <v>4</v>
      </c>
      <c r="I450" s="27">
        <v>9</v>
      </c>
      <c r="J450" s="27">
        <v>1</v>
      </c>
      <c r="K450" s="27">
        <v>0</v>
      </c>
      <c r="L450" s="27">
        <v>0</v>
      </c>
      <c r="M450" s="23">
        <f>SUM(EDProj[[#This Row],[★ Hard Case Voting Machines]:[★ Curbside (Rollie) Voting Machine]])</f>
        <v>10</v>
      </c>
      <c r="N450" s="23">
        <v>1</v>
      </c>
      <c r="O450" s="27">
        <v>6</v>
      </c>
      <c r="P450" s="23">
        <v>1</v>
      </c>
      <c r="Q450" s="23">
        <v>1</v>
      </c>
      <c r="R450" s="27">
        <f>EDProj[[#This Row],[★ Judge]]+EDProj[[#This Row],[★ Alt Judge]]+EDProj[[#This Row],[★ Clerks]]</f>
        <v>8</v>
      </c>
      <c r="S450" s="28">
        <v>1250</v>
      </c>
      <c r="T450" s="23">
        <f>EDProj[[#This Row],[★ Ballot Cards]]/250</f>
        <v>5</v>
      </c>
      <c r="U450" s="38">
        <f>EDProj[[#This Row],[★ Soft Case (ADA) Voting Machines]]+EDProj[[#This Row],[Old EPB Allocation]]</f>
        <v>5</v>
      </c>
      <c r="V450" s="38">
        <f>EDProj[[#This Row],[Tables Needed]]</f>
        <v>5</v>
      </c>
      <c r="W450" s="27">
        <v>1</v>
      </c>
      <c r="X450" s="27">
        <v>10</v>
      </c>
      <c r="Y450" s="23">
        <f>ROUNDUP(IF(EDProj[[#This Row],[Tables Needed]]-EDProj[[#This Row],[Tables Provided by the Vote Center]]&lt;0,0,EDProj[[#This Row],[Tables Needed]]-EDProj[[#This Row],[Tables Provided by the Vote Center]]),0)</f>
        <v>4</v>
      </c>
      <c r="Z450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451" spans="1:26" ht="13.9">
      <c r="A451" s="23" t="s">
        <v>294</v>
      </c>
      <c r="B451" s="23" t="s">
        <v>295</v>
      </c>
      <c r="C451" s="76" t="s">
        <v>1022</v>
      </c>
      <c r="D451" s="45" t="s">
        <v>1087</v>
      </c>
      <c r="E451" s="46" t="s">
        <v>1088</v>
      </c>
      <c r="F451" s="97">
        <v>773</v>
      </c>
      <c r="G451" s="27">
        <v>4</v>
      </c>
      <c r="H451" s="27">
        <v>4</v>
      </c>
      <c r="I451" s="27">
        <v>11</v>
      </c>
      <c r="J451" s="27">
        <v>1</v>
      </c>
      <c r="K451" s="27">
        <v>0</v>
      </c>
      <c r="L451" s="27">
        <v>0</v>
      </c>
      <c r="M451" s="23">
        <f>SUM(EDProj[[#This Row],[★ Hard Case Voting Machines]:[★ Curbside (Rollie) Voting Machine]])</f>
        <v>12</v>
      </c>
      <c r="N451" s="23">
        <v>1</v>
      </c>
      <c r="O451" s="27">
        <v>6</v>
      </c>
      <c r="P451" s="27">
        <v>1</v>
      </c>
      <c r="Q451" s="23">
        <v>1</v>
      </c>
      <c r="R451" s="27">
        <f>EDProj[[#This Row],[★ Judge]]+EDProj[[#This Row],[★ Alt Judge]]+EDProj[[#This Row],[★ Clerks]]</f>
        <v>8</v>
      </c>
      <c r="S451" s="28">
        <v>1250</v>
      </c>
      <c r="T451" s="23">
        <f>EDProj[[#This Row],[★ Ballot Cards]]/250</f>
        <v>5</v>
      </c>
      <c r="U451" s="38">
        <f>EDProj[[#This Row],[★ Soft Case (ADA) Voting Machines]]+EDProj[[#This Row],[Old EPB Allocation]]</f>
        <v>5</v>
      </c>
      <c r="V451" s="38">
        <f>EDProj[[#This Row],[Tables Needed]]</f>
        <v>5</v>
      </c>
      <c r="W451" s="27">
        <v>0</v>
      </c>
      <c r="X451" s="27">
        <v>5</v>
      </c>
      <c r="Y451" s="23">
        <f>ROUNDUP(IF(EDProj[[#This Row],[Tables Needed]]-EDProj[[#This Row],[Tables Provided by the Vote Center]]&lt;0,0,EDProj[[#This Row],[Tables Needed]]-EDProj[[#This Row],[Tables Provided by the Vote Center]]),0)</f>
        <v>5</v>
      </c>
      <c r="Z451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452" spans="1:26" ht="13.9">
      <c r="A452" s="40" t="s">
        <v>294</v>
      </c>
      <c r="B452" s="40" t="s">
        <v>295</v>
      </c>
      <c r="C452" s="75" t="s">
        <v>1022</v>
      </c>
      <c r="D452" s="41" t="s">
        <v>1089</v>
      </c>
      <c r="E452" s="42" t="s">
        <v>1090</v>
      </c>
      <c r="F452" s="96">
        <v>749</v>
      </c>
      <c r="G452" s="43">
        <v>4</v>
      </c>
      <c r="H452" s="43">
        <v>4</v>
      </c>
      <c r="I452" s="43">
        <v>10</v>
      </c>
      <c r="J452" s="43">
        <v>1</v>
      </c>
      <c r="K452" s="43">
        <v>0</v>
      </c>
      <c r="L452" s="27">
        <v>0</v>
      </c>
      <c r="M452" s="40">
        <f>SUM(EDProj[[#This Row],[★ Hard Case Voting Machines]:[★ Curbside (Rollie) Voting Machine]])</f>
        <v>11</v>
      </c>
      <c r="N452" s="40">
        <v>1</v>
      </c>
      <c r="O452" s="43">
        <v>6</v>
      </c>
      <c r="P452" s="43">
        <v>1</v>
      </c>
      <c r="Q452" s="40">
        <v>1</v>
      </c>
      <c r="R452" s="43">
        <f>EDProj[[#This Row],[★ Judge]]+EDProj[[#This Row],[★ Alt Judge]]+EDProj[[#This Row],[★ Clerks]]</f>
        <v>8</v>
      </c>
      <c r="S452" s="44">
        <v>1250</v>
      </c>
      <c r="T452" s="40">
        <f>EDProj[[#This Row],[★ Ballot Cards]]/250</f>
        <v>5</v>
      </c>
      <c r="U452" s="77">
        <f>EDProj[[#This Row],[★ Soft Case (ADA) Voting Machines]]+EDProj[[#This Row],[Old EPB Allocation]]</f>
        <v>5</v>
      </c>
      <c r="V452" s="77">
        <f>EDProj[[#This Row],[Tables Needed]]</f>
        <v>5</v>
      </c>
      <c r="W452" s="43">
        <v>8</v>
      </c>
      <c r="X452" s="43">
        <v>10</v>
      </c>
      <c r="Y452" s="40">
        <f>ROUNDUP(IF(EDProj[[#This Row],[Tables Needed]]-EDProj[[#This Row],[Tables Provided by the Vote Center]]&lt;0,0,EDProj[[#This Row],[Tables Needed]]-EDProj[[#This Row],[Tables Provided by the Vote Center]]),0)</f>
        <v>0</v>
      </c>
      <c r="Z452" s="40">
        <f>ROUNDUP(IF(EDProj[[#This Row],[Chairs Needed]]-EDProj[[#This Row],[Chairs Provided by the Vote Center]]&lt;0,0,EDProj[[#This Row],[Chairs Needed]]-EDProj[[#This Row],[Chairs Provided by the Vote Center]]),0)</f>
        <v>0</v>
      </c>
    </row>
    <row r="453" spans="1:26" ht="13.9">
      <c r="A453" s="40" t="s">
        <v>294</v>
      </c>
      <c r="B453" s="40" t="s">
        <v>295</v>
      </c>
      <c r="C453" s="75" t="s">
        <v>1022</v>
      </c>
      <c r="D453" s="45" t="s">
        <v>1091</v>
      </c>
      <c r="E453" s="46" t="s">
        <v>1092</v>
      </c>
      <c r="F453" s="96">
        <v>451</v>
      </c>
      <c r="G453" s="43">
        <v>4</v>
      </c>
      <c r="H453" s="43">
        <v>4</v>
      </c>
      <c r="I453" s="27">
        <v>6</v>
      </c>
      <c r="J453" s="27">
        <v>1</v>
      </c>
      <c r="K453" s="27">
        <v>0</v>
      </c>
      <c r="L453" s="27">
        <v>0</v>
      </c>
      <c r="M453" s="23">
        <f>SUM(EDProj[[#This Row],[★ Hard Case Voting Machines]:[★ Curbside (Rollie) Voting Machine]])</f>
        <v>7</v>
      </c>
      <c r="N453" s="23">
        <v>1</v>
      </c>
      <c r="O453" s="27">
        <v>5</v>
      </c>
      <c r="P453" s="27">
        <v>1</v>
      </c>
      <c r="Q453" s="40">
        <v>1</v>
      </c>
      <c r="R453" s="27">
        <f>EDProj[[#This Row],[★ Judge]]+EDProj[[#This Row],[★ Alt Judge]]+EDProj[[#This Row],[★ Clerks]]</f>
        <v>7</v>
      </c>
      <c r="S453" s="28">
        <v>750</v>
      </c>
      <c r="T453" s="23">
        <f>EDProj[[#This Row],[★ Ballot Cards]]/250</f>
        <v>3</v>
      </c>
      <c r="U453" s="38">
        <f>EDProj[[#This Row],[★ Soft Case (ADA) Voting Machines]]+EDProj[[#This Row],[Old EPB Allocation]]</f>
        <v>5</v>
      </c>
      <c r="V453" s="38">
        <f>EDProj[[#This Row],[Tables Needed]]</f>
        <v>5</v>
      </c>
      <c r="W453" s="43">
        <v>4</v>
      </c>
      <c r="X453" s="43">
        <v>6</v>
      </c>
      <c r="Y453" s="23">
        <f>ROUNDUP(IF(EDProj[[#This Row],[Tables Needed]]-EDProj[[#This Row],[Tables Provided by the Vote Center]]&lt;0,0,EDProj[[#This Row],[Tables Needed]]-EDProj[[#This Row],[Tables Provided by the Vote Center]]),0)</f>
        <v>1</v>
      </c>
      <c r="Z453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454" spans="1:26" ht="13.9">
      <c r="A454" s="40" t="s">
        <v>113</v>
      </c>
      <c r="B454" s="40" t="s">
        <v>250</v>
      </c>
      <c r="C454" s="75" t="s">
        <v>1022</v>
      </c>
      <c r="D454" s="45" t="s">
        <v>249</v>
      </c>
      <c r="E454" s="46" t="s">
        <v>251</v>
      </c>
      <c r="F454" s="96">
        <v>2439</v>
      </c>
      <c r="G454" s="43">
        <v>4.1666666666666661</v>
      </c>
      <c r="H454" s="43">
        <v>6</v>
      </c>
      <c r="I454" s="27">
        <v>10</v>
      </c>
      <c r="J454" s="27">
        <v>1</v>
      </c>
      <c r="K454" s="27">
        <v>1</v>
      </c>
      <c r="L454" s="27">
        <v>1</v>
      </c>
      <c r="M454" s="23">
        <f>SUM(EDProj[[#This Row],[★ Hard Case Voting Machines]:[★ Curbside (Rollie) Voting Machine]])</f>
        <v>13</v>
      </c>
      <c r="N454" s="23">
        <v>1</v>
      </c>
      <c r="O454" s="27">
        <v>7</v>
      </c>
      <c r="P454" s="27">
        <v>1</v>
      </c>
      <c r="Q454" s="40">
        <v>1</v>
      </c>
      <c r="R454" s="27">
        <f>EDProj[[#This Row],[★ Judge]]+EDProj[[#This Row],[★ Alt Judge]]+EDProj[[#This Row],[★ Clerks]]</f>
        <v>9</v>
      </c>
      <c r="S454" s="28">
        <v>1250</v>
      </c>
      <c r="T454" s="23">
        <f>EDProj[[#This Row],[★ Ballot Cards]]/250</f>
        <v>5</v>
      </c>
      <c r="U454" s="38">
        <f>EDProj[[#This Row],[★ Soft Case (ADA) Voting Machines]]+EDProj[[#This Row],[Old EPB Allocation]]</f>
        <v>5.1666666666666661</v>
      </c>
      <c r="V454" s="38">
        <f>EDProj[[#This Row],[Tables Needed]]</f>
        <v>5.1666666666666661</v>
      </c>
      <c r="W454" s="43">
        <v>15</v>
      </c>
      <c r="X454" s="43">
        <v>50</v>
      </c>
      <c r="Y454" s="23">
        <f>ROUNDUP(IF(EDProj[[#This Row],[Tables Needed]]-EDProj[[#This Row],[Tables Provided by the Vote Center]]&lt;0,0,EDProj[[#This Row],[Tables Needed]]-EDProj[[#This Row],[Tables Provided by the Vote Center]]),0)</f>
        <v>0</v>
      </c>
      <c r="Z454" s="23">
        <f>ROUNDUP(IF(EDProj[[#This Row],[Chairs Needed]]-EDProj[[#This Row],[Chairs Provided by the Vote Center]]&lt;0,0,EDProj[[#This Row],[Chairs Needed]]-EDProj[[#This Row],[Chairs Provided by the Vote Center]]),0)</f>
        <v>0</v>
      </c>
    </row>
    <row r="455" spans="1:26" ht="13.9">
      <c r="A455" s="40" t="s">
        <v>294</v>
      </c>
      <c r="B455" s="40" t="s">
        <v>295</v>
      </c>
      <c r="C455" s="75" t="s">
        <v>1022</v>
      </c>
      <c r="D455" s="41" t="s">
        <v>1093</v>
      </c>
      <c r="E455" s="42" t="s">
        <v>1094</v>
      </c>
      <c r="F455" s="96">
        <v>470</v>
      </c>
      <c r="G455" s="43">
        <v>4</v>
      </c>
      <c r="H455" s="43">
        <v>4</v>
      </c>
      <c r="I455" s="43">
        <v>7</v>
      </c>
      <c r="J455" s="43">
        <v>1</v>
      </c>
      <c r="K455" s="43">
        <v>0</v>
      </c>
      <c r="L455" s="43">
        <v>0</v>
      </c>
      <c r="M455" s="40">
        <f>SUM(EDProj[[#This Row],[★ Hard Case Voting Machines]:[★ Curbside (Rollie) Voting Machine]])</f>
        <v>8</v>
      </c>
      <c r="N455" s="40">
        <v>1</v>
      </c>
      <c r="O455" s="43">
        <v>5</v>
      </c>
      <c r="P455" s="43">
        <v>1</v>
      </c>
      <c r="Q455" s="40">
        <v>1</v>
      </c>
      <c r="R455" s="43">
        <f>EDProj[[#This Row],[★ Judge]]+EDProj[[#This Row],[★ Alt Judge]]+EDProj[[#This Row],[★ Clerks]]</f>
        <v>7</v>
      </c>
      <c r="S455" s="44">
        <v>1000</v>
      </c>
      <c r="T455" s="40">
        <f>EDProj[[#This Row],[★ Ballot Cards]]/250</f>
        <v>4</v>
      </c>
      <c r="U455" s="77">
        <f>EDProj[[#This Row],[★ Soft Case (ADA) Voting Machines]]+EDProj[[#This Row],[Old EPB Allocation]]</f>
        <v>5</v>
      </c>
      <c r="V455" s="77">
        <f>EDProj[[#This Row],[Tables Needed]]</f>
        <v>5</v>
      </c>
      <c r="W455" s="43">
        <v>0</v>
      </c>
      <c r="X455" s="43">
        <v>0</v>
      </c>
      <c r="Y455" s="40">
        <f>ROUNDUP(IF(EDProj[[#This Row],[Tables Needed]]-EDProj[[#This Row],[Tables Provided by the Vote Center]]&lt;0,0,EDProj[[#This Row],[Tables Needed]]-EDProj[[#This Row],[Tables Provided by the Vote Center]]),0)</f>
        <v>5</v>
      </c>
      <c r="Z455" s="40">
        <f>ROUNDUP(IF(EDProj[[#This Row],[Chairs Needed]]-EDProj[[#This Row],[Chairs Provided by the Vote Center]]&lt;0,0,EDProj[[#This Row],[Chairs Needed]]-EDProj[[#This Row],[Chairs Provided by the Vote Center]]),0)</f>
        <v>5</v>
      </c>
    </row>
    <row r="456" spans="1:26" ht="13.9">
      <c r="A456" s="40" t="s">
        <v>294</v>
      </c>
      <c r="B456" s="40" t="s">
        <v>295</v>
      </c>
      <c r="C456" s="75" t="s">
        <v>1022</v>
      </c>
      <c r="D456" s="41" t="s">
        <v>1095</v>
      </c>
      <c r="E456" s="42" t="s">
        <v>1096</v>
      </c>
      <c r="F456" s="96">
        <v>565</v>
      </c>
      <c r="G456" s="43">
        <v>4</v>
      </c>
      <c r="H456" s="43">
        <v>4</v>
      </c>
      <c r="I456" s="43">
        <v>8</v>
      </c>
      <c r="J456" s="43">
        <v>1</v>
      </c>
      <c r="K456" s="43">
        <v>0</v>
      </c>
      <c r="L456" s="43">
        <v>0</v>
      </c>
      <c r="M456" s="40">
        <f>SUM(EDProj[[#This Row],[★ Hard Case Voting Machines]:[★ Curbside (Rollie) Voting Machine]])</f>
        <v>9</v>
      </c>
      <c r="N456" s="40">
        <v>1</v>
      </c>
      <c r="O456" s="43">
        <v>6</v>
      </c>
      <c r="P456" s="43">
        <v>1</v>
      </c>
      <c r="Q456" s="40">
        <v>1</v>
      </c>
      <c r="R456" s="43">
        <f>EDProj[[#This Row],[★ Judge]]+EDProj[[#This Row],[★ Alt Judge]]+EDProj[[#This Row],[★ Clerks]]</f>
        <v>8</v>
      </c>
      <c r="S456" s="44">
        <v>1000</v>
      </c>
      <c r="T456" s="40">
        <f>EDProj[[#This Row],[★ Ballot Cards]]/250</f>
        <v>4</v>
      </c>
      <c r="U456" s="77">
        <f>EDProj[[#This Row],[★ Soft Case (ADA) Voting Machines]]+EDProj[[#This Row],[Old EPB Allocation]]</f>
        <v>5</v>
      </c>
      <c r="V456" s="77">
        <f>EDProj[[#This Row],[Tables Needed]]</f>
        <v>5</v>
      </c>
      <c r="W456" s="43">
        <v>0</v>
      </c>
      <c r="X456" s="43">
        <v>0</v>
      </c>
      <c r="Y456" s="40">
        <f>ROUNDUP(IF(EDProj[[#This Row],[Tables Needed]]-EDProj[[#This Row],[Tables Provided by the Vote Center]]&lt;0,0,EDProj[[#This Row],[Tables Needed]]-EDProj[[#This Row],[Tables Provided by the Vote Center]]),0)</f>
        <v>5</v>
      </c>
      <c r="Z456" s="40">
        <f>ROUNDUP(IF(EDProj[[#This Row],[Chairs Needed]]-EDProj[[#This Row],[Chairs Provided by the Vote Center]]&lt;0,0,EDProj[[#This Row],[Chairs Needed]]-EDProj[[#This Row],[Chairs Provided by the Vote Center]]),0)</f>
        <v>5</v>
      </c>
    </row>
    <row r="457" spans="1:26" ht="13.9">
      <c r="A457" s="40" t="s">
        <v>294</v>
      </c>
      <c r="B457" s="40" t="s">
        <v>295</v>
      </c>
      <c r="C457" s="73" t="s">
        <v>1022</v>
      </c>
      <c r="D457" s="41" t="s">
        <v>1097</v>
      </c>
      <c r="E457" s="42" t="s">
        <v>1098</v>
      </c>
      <c r="F457" s="96">
        <v>429</v>
      </c>
      <c r="G457" s="43">
        <v>4</v>
      </c>
      <c r="H457" s="43">
        <v>4</v>
      </c>
      <c r="I457" s="43">
        <v>5</v>
      </c>
      <c r="J457" s="43">
        <v>1</v>
      </c>
      <c r="K457" s="43">
        <v>0</v>
      </c>
      <c r="L457" s="43">
        <v>0</v>
      </c>
      <c r="M457" s="40">
        <f>SUM(EDProj[[#This Row],[★ Hard Case Voting Machines]:[★ Curbside (Rollie) Voting Machine]])</f>
        <v>6</v>
      </c>
      <c r="N457" s="40">
        <v>1</v>
      </c>
      <c r="O457" s="43">
        <v>5</v>
      </c>
      <c r="P457" s="43">
        <v>1</v>
      </c>
      <c r="Q457" s="40">
        <v>1</v>
      </c>
      <c r="R457" s="43">
        <f>EDProj[[#This Row],[★ Judge]]+EDProj[[#This Row],[★ Alt Judge]]+EDProj[[#This Row],[★ Clerks]]</f>
        <v>7</v>
      </c>
      <c r="S457" s="44">
        <v>750</v>
      </c>
      <c r="T457" s="40">
        <f>EDProj[[#This Row],[★ Ballot Cards]]/250</f>
        <v>3</v>
      </c>
      <c r="U457" s="77">
        <f>EDProj[[#This Row],[★ Soft Case (ADA) Voting Machines]]+EDProj[[#This Row],[Old EPB Allocation]]</f>
        <v>5</v>
      </c>
      <c r="V457" s="77">
        <f>EDProj[[#This Row],[Tables Needed]]</f>
        <v>5</v>
      </c>
      <c r="W457" s="43">
        <v>4</v>
      </c>
      <c r="X457" s="43">
        <v>5</v>
      </c>
      <c r="Y457" s="40">
        <f>ROUNDUP(IF(EDProj[[#This Row],[Tables Needed]]-EDProj[[#This Row],[Tables Provided by the Vote Center]]&lt;0,0,EDProj[[#This Row],[Tables Needed]]-EDProj[[#This Row],[Tables Provided by the Vote Center]]),0)</f>
        <v>1</v>
      </c>
      <c r="Z457" s="40">
        <f>ROUNDUP(IF(EDProj[[#This Row],[Chairs Needed]]-EDProj[[#This Row],[Chairs Provided by the Vote Center]]&lt;0,0,EDProj[[#This Row],[Chairs Needed]]-EDProj[[#This Row],[Chairs Provided by the Vote Center]]),0)</f>
        <v>0</v>
      </c>
    </row>
  </sheetData>
  <sheetProtection algorithmName="SHA-512" hashValue="FJcftuuE8XtwstljFQRlNbsJDXB0DJrieTIQQ/9267nIquih7E2BoHVabx68rBLEf1wAvO1e63zGuhEhV+gNmw==" saltValue="fKHxqLrvhwB5/78at1FPOw==" spinCount="100000" sheet="1" objects="1" scenarios="1" autoFilter="0"/>
  <phoneticPr fontId="12" type="noConversion"/>
  <conditionalFormatting sqref="D448:D451">
    <cfRule type="duplicateValues" dxfId="60" priority="63"/>
  </conditionalFormatting>
  <conditionalFormatting sqref="D3:D457">
    <cfRule type="cellIs" dxfId="59" priority="1" operator="notEqual">
      <formula>#REF!</formula>
    </cfRule>
  </conditionalFormatting>
  <conditionalFormatting sqref="E3:F4 D3:D457">
    <cfRule type="duplicateValues" dxfId="58" priority="64"/>
  </conditionalFormatting>
  <printOptions horizontalCentered="1"/>
  <pageMargins left="0.25" right="0.25" top="0.75" bottom="0.75" header="0.3" footer="0.3"/>
  <pageSetup fitToHeight="0" orientation="portrait" r:id="rId1"/>
  <legacy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5AA53-AF21-4E5A-9DDB-2B952ED81EAE}">
  <dimension ref="A1:D18"/>
  <sheetViews>
    <sheetView workbookViewId="0">
      <selection activeCell="K23" sqref="K23"/>
    </sheetView>
  </sheetViews>
  <sheetFormatPr defaultRowHeight="14.45"/>
  <cols>
    <col min="1" max="1" width="11.7109375" bestFit="1" customWidth="1"/>
    <col min="2" max="2" width="31.5703125" bestFit="1" customWidth="1"/>
    <col min="3" max="3" width="21.42578125" bestFit="1" customWidth="1"/>
    <col min="4" max="4" width="22.28515625" bestFit="1" customWidth="1"/>
  </cols>
  <sheetData>
    <row r="1" spans="1:4">
      <c r="A1" s="99" t="s">
        <v>2</v>
      </c>
      <c r="B1" s="99" t="s">
        <v>3</v>
      </c>
      <c r="C1" s="99" t="s">
        <v>1099</v>
      </c>
      <c r="D1" s="100" t="s">
        <v>1100</v>
      </c>
    </row>
    <row r="2" spans="1:4">
      <c r="A2" s="98" t="s">
        <v>308</v>
      </c>
      <c r="B2" s="98" t="s">
        <v>310</v>
      </c>
      <c r="C2" s="102">
        <v>6</v>
      </c>
      <c r="D2" s="103">
        <v>11</v>
      </c>
    </row>
    <row r="3" spans="1:4">
      <c r="A3" s="98" t="s">
        <v>156</v>
      </c>
      <c r="B3" s="98" t="s">
        <v>158</v>
      </c>
      <c r="C3" s="102">
        <v>6</v>
      </c>
      <c r="D3" s="103">
        <v>10</v>
      </c>
    </row>
    <row r="4" spans="1:4">
      <c r="A4" s="98" t="s">
        <v>117</v>
      </c>
      <c r="B4" s="98" t="s">
        <v>119</v>
      </c>
      <c r="C4" s="102">
        <v>9</v>
      </c>
      <c r="D4" s="103">
        <v>11</v>
      </c>
    </row>
    <row r="5" spans="1:4">
      <c r="A5" s="98" t="s">
        <v>19</v>
      </c>
      <c r="B5" s="98" t="s">
        <v>18</v>
      </c>
      <c r="C5" s="102">
        <v>18</v>
      </c>
      <c r="D5" s="103">
        <v>24</v>
      </c>
    </row>
    <row r="6" spans="1:4">
      <c r="A6" s="98" t="s">
        <v>276</v>
      </c>
      <c r="B6" s="98" t="s">
        <v>278</v>
      </c>
      <c r="C6" s="102">
        <v>8</v>
      </c>
      <c r="D6" s="103">
        <v>15</v>
      </c>
    </row>
    <row r="7" spans="1:4">
      <c r="A7" s="98" t="s">
        <v>237</v>
      </c>
      <c r="B7" s="98" t="s">
        <v>239</v>
      </c>
      <c r="C7" s="102">
        <v>9</v>
      </c>
      <c r="D7" s="103">
        <v>13</v>
      </c>
    </row>
    <row r="8" spans="1:4">
      <c r="A8" s="98" t="s">
        <v>180</v>
      </c>
      <c r="B8" s="98" t="s">
        <v>182</v>
      </c>
      <c r="C8" s="102">
        <v>6</v>
      </c>
      <c r="D8" s="103">
        <v>8</v>
      </c>
    </row>
    <row r="9" spans="1:4">
      <c r="A9" s="98" t="s">
        <v>222</v>
      </c>
      <c r="B9" s="98" t="s">
        <v>224</v>
      </c>
      <c r="C9" s="102">
        <v>13</v>
      </c>
      <c r="D9" s="103">
        <v>15</v>
      </c>
    </row>
    <row r="10" spans="1:4">
      <c r="A10" s="98" t="s">
        <v>282</v>
      </c>
      <c r="B10" s="98" t="s">
        <v>284</v>
      </c>
      <c r="C10" s="102">
        <v>9</v>
      </c>
      <c r="D10" s="103">
        <v>13</v>
      </c>
    </row>
    <row r="11" spans="1:4">
      <c r="A11" s="98" t="s">
        <v>174</v>
      </c>
      <c r="B11" s="98" t="s">
        <v>176</v>
      </c>
      <c r="C11" s="102">
        <v>12</v>
      </c>
      <c r="D11" s="103">
        <v>16</v>
      </c>
    </row>
    <row r="12" spans="1:4">
      <c r="A12" s="98" t="s">
        <v>168</v>
      </c>
      <c r="B12" s="98" t="s">
        <v>170</v>
      </c>
      <c r="C12" s="102">
        <v>17</v>
      </c>
      <c r="D12" s="103">
        <v>21</v>
      </c>
    </row>
    <row r="13" spans="1:4">
      <c r="A13" s="98" t="s">
        <v>216</v>
      </c>
      <c r="B13" s="98" t="s">
        <v>218</v>
      </c>
      <c r="C13" s="102">
        <v>13</v>
      </c>
      <c r="D13" s="103">
        <v>15</v>
      </c>
    </row>
    <row r="14" spans="1:4">
      <c r="A14" s="98" t="s">
        <v>123</v>
      </c>
      <c r="B14" s="98" t="s">
        <v>125</v>
      </c>
      <c r="C14" s="102">
        <v>6</v>
      </c>
      <c r="D14" s="103">
        <v>8</v>
      </c>
    </row>
    <row r="15" spans="1:4">
      <c r="A15" s="98" t="s">
        <v>144</v>
      </c>
      <c r="B15" s="98" t="s">
        <v>146</v>
      </c>
      <c r="C15" s="102">
        <v>15</v>
      </c>
      <c r="D15" s="103">
        <v>22</v>
      </c>
    </row>
    <row r="16" spans="1:4">
      <c r="A16" s="98" t="s">
        <v>255</v>
      </c>
      <c r="B16" s="98" t="s">
        <v>257</v>
      </c>
      <c r="C16" s="102">
        <v>9</v>
      </c>
      <c r="D16" s="103">
        <v>11</v>
      </c>
    </row>
    <row r="17" spans="1:4">
      <c r="A17" s="98" t="s">
        <v>183</v>
      </c>
      <c r="B17" s="98" t="s">
        <v>185</v>
      </c>
      <c r="C17" s="102">
        <v>8</v>
      </c>
      <c r="D17" s="103">
        <v>10</v>
      </c>
    </row>
    <row r="18" spans="1:4">
      <c r="A18" s="101" t="s">
        <v>198</v>
      </c>
      <c r="B18" s="101" t="s">
        <v>200</v>
      </c>
      <c r="C18" s="104">
        <v>9</v>
      </c>
      <c r="D18" s="105">
        <v>12</v>
      </c>
    </row>
  </sheetData>
  <sheetProtection algorithmName="SHA-512" hashValue="XlXYFBL8BoCuXgZq2QNqxpuDzov5HtFxUx0nxgFF4sWwENug3wGqqE3Vbv4RG1PRePI7PZv0Hx1nwEdpgT3ZeQ==" saltValue="QJ0PM+3jAXmddlg+/SNMaw==" spinCount="100000" sheet="1" objects="1" scenarios="1" autoFilter="0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7F816-7EE3-4637-8165-F5D2D244C695}">
  <dimension ref="A1:M54"/>
  <sheetViews>
    <sheetView topLeftCell="G26" workbookViewId="0">
      <selection activeCell="M40" sqref="M40"/>
    </sheetView>
  </sheetViews>
  <sheetFormatPr defaultColWidth="14.5703125" defaultRowHeight="14.45"/>
  <cols>
    <col min="1" max="1" width="34.5703125" bestFit="1" customWidth="1"/>
    <col min="2" max="2" width="10.7109375" bestFit="1" customWidth="1"/>
    <col min="3" max="3" width="31" bestFit="1" customWidth="1"/>
    <col min="5" max="6" width="16.85546875" bestFit="1" customWidth="1"/>
    <col min="8" max="8" width="34.5703125" bestFit="1" customWidth="1"/>
    <col min="9" max="9" width="10.7109375" bestFit="1" customWidth="1"/>
    <col min="10" max="10" width="31" bestFit="1" customWidth="1"/>
    <col min="12" max="13" width="16.85546875" bestFit="1" customWidth="1"/>
  </cols>
  <sheetData>
    <row r="1" spans="1:13" ht="18">
      <c r="A1" s="115" t="s">
        <v>1101</v>
      </c>
      <c r="B1" s="115"/>
      <c r="C1" s="115"/>
      <c r="D1" s="115"/>
      <c r="E1" s="115"/>
      <c r="F1" s="115"/>
      <c r="H1" s="115" t="s">
        <v>1102</v>
      </c>
      <c r="I1" s="115"/>
      <c r="J1" s="115"/>
      <c r="K1" s="115"/>
      <c r="L1" s="115"/>
      <c r="M1" s="115"/>
    </row>
    <row r="2" spans="1:13" ht="37.9">
      <c r="A2" s="106" t="s">
        <v>319</v>
      </c>
      <c r="B2" s="107" t="s">
        <v>2</v>
      </c>
      <c r="C2" s="106" t="s">
        <v>3</v>
      </c>
      <c r="D2" s="14" t="s">
        <v>320</v>
      </c>
      <c r="E2" s="108" t="s">
        <v>321</v>
      </c>
      <c r="F2" s="109" t="s">
        <v>322</v>
      </c>
      <c r="H2" s="106" t="s">
        <v>319</v>
      </c>
      <c r="I2" s="107" t="s">
        <v>2</v>
      </c>
      <c r="J2" s="106" t="s">
        <v>3</v>
      </c>
      <c r="K2" s="14" t="s">
        <v>320</v>
      </c>
      <c r="L2" s="108" t="s">
        <v>321</v>
      </c>
      <c r="M2" s="109" t="s">
        <v>322</v>
      </c>
    </row>
    <row r="3" spans="1:13">
      <c r="A3" s="110" t="s">
        <v>329</v>
      </c>
      <c r="B3" s="36" t="s">
        <v>117</v>
      </c>
      <c r="C3" s="111" t="s">
        <v>119</v>
      </c>
      <c r="D3" s="94">
        <v>1889</v>
      </c>
      <c r="E3" s="38">
        <v>4</v>
      </c>
      <c r="F3" s="38">
        <v>6</v>
      </c>
      <c r="H3" s="110" t="s">
        <v>819</v>
      </c>
      <c r="I3" s="78" t="s">
        <v>114</v>
      </c>
      <c r="J3" s="79" t="s">
        <v>116</v>
      </c>
      <c r="K3" s="95">
        <v>2134</v>
      </c>
      <c r="L3" s="38">
        <v>5.3333333333333339</v>
      </c>
      <c r="M3" s="38">
        <v>6</v>
      </c>
    </row>
    <row r="4" spans="1:13">
      <c r="A4" s="110" t="s">
        <v>329</v>
      </c>
      <c r="B4" s="78" t="s">
        <v>225</v>
      </c>
      <c r="C4" s="79" t="s">
        <v>227</v>
      </c>
      <c r="D4" s="95">
        <v>1333</v>
      </c>
      <c r="E4" s="38">
        <v>4.1666666666666661</v>
      </c>
      <c r="F4" s="38">
        <v>5</v>
      </c>
      <c r="H4" s="110" t="s">
        <v>329</v>
      </c>
      <c r="I4" s="36" t="s">
        <v>117</v>
      </c>
      <c r="J4" s="111" t="s">
        <v>119</v>
      </c>
      <c r="K4" s="94">
        <v>1889</v>
      </c>
      <c r="L4" s="38">
        <v>4</v>
      </c>
      <c r="M4" s="38">
        <v>6</v>
      </c>
    </row>
    <row r="5" spans="1:13">
      <c r="A5" s="110" t="s">
        <v>329</v>
      </c>
      <c r="B5" s="36" t="s">
        <v>231</v>
      </c>
      <c r="C5" s="111" t="s">
        <v>233</v>
      </c>
      <c r="D5" s="94">
        <v>2479</v>
      </c>
      <c r="E5" s="38">
        <v>6.166666666666667</v>
      </c>
      <c r="F5" s="38">
        <v>9</v>
      </c>
      <c r="H5" s="110" t="s">
        <v>963</v>
      </c>
      <c r="I5" s="36" t="s">
        <v>120</v>
      </c>
      <c r="J5" s="111" t="s">
        <v>122</v>
      </c>
      <c r="K5" s="94">
        <v>2931</v>
      </c>
      <c r="L5" s="38">
        <v>5.6666666666666661</v>
      </c>
      <c r="M5" s="38">
        <v>7</v>
      </c>
    </row>
    <row r="6" spans="1:13">
      <c r="A6" s="110" t="s">
        <v>329</v>
      </c>
      <c r="B6" s="36" t="s">
        <v>168</v>
      </c>
      <c r="C6" s="111" t="s">
        <v>170</v>
      </c>
      <c r="D6" s="94">
        <v>3503</v>
      </c>
      <c r="E6" s="38">
        <v>6.333333333333333</v>
      </c>
      <c r="F6" s="38">
        <v>14</v>
      </c>
      <c r="H6" s="110" t="s">
        <v>746</v>
      </c>
      <c r="I6" s="36" t="s">
        <v>129</v>
      </c>
      <c r="J6" s="111" t="s">
        <v>131</v>
      </c>
      <c r="K6" s="94">
        <v>1812</v>
      </c>
      <c r="L6" s="38">
        <v>4</v>
      </c>
      <c r="M6" s="38">
        <v>5</v>
      </c>
    </row>
    <row r="7" spans="1:13">
      <c r="A7" s="110" t="s">
        <v>329</v>
      </c>
      <c r="B7" s="78" t="s">
        <v>159</v>
      </c>
      <c r="C7" s="79" t="s">
        <v>161</v>
      </c>
      <c r="D7" s="95">
        <v>2351</v>
      </c>
      <c r="E7" s="38">
        <v>5</v>
      </c>
      <c r="F7" s="38">
        <v>7</v>
      </c>
      <c r="H7" s="110" t="s">
        <v>329</v>
      </c>
      <c r="I7" s="36" t="s">
        <v>138</v>
      </c>
      <c r="J7" s="111" t="s">
        <v>140</v>
      </c>
      <c r="K7" s="94">
        <v>3637</v>
      </c>
      <c r="L7" s="38">
        <v>6.5</v>
      </c>
      <c r="M7" s="38">
        <v>11</v>
      </c>
    </row>
    <row r="8" spans="1:13">
      <c r="A8" s="110" t="s">
        <v>329</v>
      </c>
      <c r="B8" s="78" t="s">
        <v>210</v>
      </c>
      <c r="C8" s="79" t="s">
        <v>212</v>
      </c>
      <c r="D8" s="95">
        <v>2263</v>
      </c>
      <c r="E8" s="38">
        <v>5.8333333333333339</v>
      </c>
      <c r="F8" s="38">
        <v>7</v>
      </c>
      <c r="H8" s="110" t="s">
        <v>746</v>
      </c>
      <c r="I8" s="36" t="s">
        <v>141</v>
      </c>
      <c r="J8" s="111" t="s">
        <v>143</v>
      </c>
      <c r="K8" s="94">
        <v>1162</v>
      </c>
      <c r="L8" s="38">
        <v>4</v>
      </c>
      <c r="M8" s="38">
        <v>5</v>
      </c>
    </row>
    <row r="9" spans="1:13">
      <c r="A9" s="110" t="s">
        <v>329</v>
      </c>
      <c r="B9" s="36" t="s">
        <v>307</v>
      </c>
      <c r="C9" s="111" t="s">
        <v>50</v>
      </c>
      <c r="D9" s="94">
        <v>3064</v>
      </c>
      <c r="E9" s="38">
        <v>5</v>
      </c>
      <c r="F9" s="38">
        <v>6</v>
      </c>
      <c r="H9" s="110" t="s">
        <v>819</v>
      </c>
      <c r="I9" s="36" t="s">
        <v>144</v>
      </c>
      <c r="J9" s="111" t="s">
        <v>146</v>
      </c>
      <c r="K9" s="94">
        <v>2766</v>
      </c>
      <c r="L9" s="38">
        <v>6.333333333333333</v>
      </c>
      <c r="M9" s="38">
        <v>16</v>
      </c>
    </row>
    <row r="10" spans="1:13">
      <c r="A10" s="110" t="s">
        <v>329</v>
      </c>
      <c r="B10" s="36" t="s">
        <v>138</v>
      </c>
      <c r="C10" s="111" t="s">
        <v>140</v>
      </c>
      <c r="D10" s="94">
        <v>3637</v>
      </c>
      <c r="E10" s="38">
        <v>6.5</v>
      </c>
      <c r="F10" s="38">
        <v>11</v>
      </c>
      <c r="H10" s="110" t="s">
        <v>819</v>
      </c>
      <c r="I10" s="78" t="s">
        <v>147</v>
      </c>
      <c r="J10" s="79" t="s">
        <v>149</v>
      </c>
      <c r="K10" s="95">
        <v>2762</v>
      </c>
      <c r="L10" s="38">
        <v>6.166666666666667</v>
      </c>
      <c r="M10" s="38">
        <v>9</v>
      </c>
    </row>
    <row r="11" spans="1:13">
      <c r="A11" s="110" t="s">
        <v>390</v>
      </c>
      <c r="B11" s="36" t="s">
        <v>156</v>
      </c>
      <c r="C11" s="111" t="s">
        <v>158</v>
      </c>
      <c r="D11" s="94">
        <v>305</v>
      </c>
      <c r="E11" s="38">
        <v>5</v>
      </c>
      <c r="F11" s="38">
        <v>6</v>
      </c>
      <c r="H11" s="110" t="s">
        <v>390</v>
      </c>
      <c r="I11" s="36" t="s">
        <v>156</v>
      </c>
      <c r="J11" s="111" t="s">
        <v>158</v>
      </c>
      <c r="K11" s="94">
        <v>305</v>
      </c>
      <c r="L11" s="38">
        <v>5</v>
      </c>
      <c r="M11" s="38">
        <v>6</v>
      </c>
    </row>
    <row r="12" spans="1:13">
      <c r="A12" s="110" t="s">
        <v>390</v>
      </c>
      <c r="B12" s="36" t="s">
        <v>261</v>
      </c>
      <c r="C12" s="111" t="s">
        <v>263</v>
      </c>
      <c r="D12" s="94">
        <v>3576</v>
      </c>
      <c r="E12" s="38">
        <v>5.3333333333333339</v>
      </c>
      <c r="F12" s="38">
        <v>9</v>
      </c>
      <c r="H12" s="110" t="s">
        <v>329</v>
      </c>
      <c r="I12" s="78" t="s">
        <v>159</v>
      </c>
      <c r="J12" s="79" t="s">
        <v>161</v>
      </c>
      <c r="K12" s="95">
        <v>2351</v>
      </c>
      <c r="L12" s="38">
        <v>5</v>
      </c>
      <c r="M12" s="38">
        <v>7</v>
      </c>
    </row>
    <row r="13" spans="1:13">
      <c r="A13" s="110" t="s">
        <v>390</v>
      </c>
      <c r="B13" s="36" t="s">
        <v>413</v>
      </c>
      <c r="C13" s="111" t="s">
        <v>414</v>
      </c>
      <c r="D13" s="94">
        <v>1775</v>
      </c>
      <c r="E13" s="38">
        <v>4</v>
      </c>
      <c r="F13" s="38">
        <v>6</v>
      </c>
      <c r="H13" s="110" t="s">
        <v>588</v>
      </c>
      <c r="I13" s="36" t="s">
        <v>162</v>
      </c>
      <c r="J13" s="111" t="s">
        <v>164</v>
      </c>
      <c r="K13" s="94">
        <v>1018</v>
      </c>
      <c r="L13" s="38">
        <v>4</v>
      </c>
      <c r="M13" s="38">
        <v>5</v>
      </c>
    </row>
    <row r="14" spans="1:13">
      <c r="A14" s="110" t="s">
        <v>390</v>
      </c>
      <c r="B14" s="36" t="s">
        <v>304</v>
      </c>
      <c r="C14" s="111" t="s">
        <v>306</v>
      </c>
      <c r="D14" s="94">
        <v>2888</v>
      </c>
      <c r="E14" s="38">
        <v>6.333333333333333</v>
      </c>
      <c r="F14" s="38">
        <v>10</v>
      </c>
      <c r="H14" s="110" t="s">
        <v>588</v>
      </c>
      <c r="I14" s="36" t="s">
        <v>16</v>
      </c>
      <c r="J14" s="111" t="s">
        <v>13</v>
      </c>
      <c r="K14" s="94">
        <v>1762</v>
      </c>
      <c r="L14" s="38">
        <v>7</v>
      </c>
      <c r="M14" s="38">
        <v>10</v>
      </c>
    </row>
    <row r="15" spans="1:13">
      <c r="A15" s="110" t="s">
        <v>390</v>
      </c>
      <c r="B15" s="78" t="s">
        <v>177</v>
      </c>
      <c r="C15" s="79" t="s">
        <v>179</v>
      </c>
      <c r="D15" s="95">
        <v>1218</v>
      </c>
      <c r="E15" s="38">
        <v>4.5</v>
      </c>
      <c r="F15" s="38">
        <v>5</v>
      </c>
      <c r="H15" s="110" t="s">
        <v>329</v>
      </c>
      <c r="I15" s="36" t="s">
        <v>168</v>
      </c>
      <c r="J15" s="111" t="s">
        <v>170</v>
      </c>
      <c r="K15" s="94">
        <v>3503</v>
      </c>
      <c r="L15" s="38">
        <v>6.333333333333333</v>
      </c>
      <c r="M15" s="38">
        <v>14</v>
      </c>
    </row>
    <row r="16" spans="1:13">
      <c r="A16" s="110" t="s">
        <v>390</v>
      </c>
      <c r="B16" s="78" t="s">
        <v>311</v>
      </c>
      <c r="C16" s="79" t="s">
        <v>313</v>
      </c>
      <c r="D16" s="95">
        <v>1035</v>
      </c>
      <c r="E16" s="38">
        <v>4.5</v>
      </c>
      <c r="F16" s="38">
        <v>6</v>
      </c>
      <c r="H16" s="110" t="s">
        <v>819</v>
      </c>
      <c r="I16" s="36" t="s">
        <v>171</v>
      </c>
      <c r="J16" s="111" t="s">
        <v>173</v>
      </c>
      <c r="K16" s="94">
        <v>1382</v>
      </c>
      <c r="L16" s="38">
        <v>6</v>
      </c>
      <c r="M16" s="38">
        <v>7</v>
      </c>
    </row>
    <row r="17" spans="1:13">
      <c r="A17" s="110" t="s">
        <v>390</v>
      </c>
      <c r="B17" s="36" t="s">
        <v>201</v>
      </c>
      <c r="C17" s="111" t="s">
        <v>203</v>
      </c>
      <c r="D17" s="94">
        <v>3247</v>
      </c>
      <c r="E17" s="38">
        <v>6.333333333333333</v>
      </c>
      <c r="F17" s="38">
        <v>10</v>
      </c>
      <c r="H17" s="110" t="s">
        <v>1022</v>
      </c>
      <c r="I17" s="36" t="s">
        <v>174</v>
      </c>
      <c r="J17" s="111" t="s">
        <v>176</v>
      </c>
      <c r="K17" s="94">
        <v>2033</v>
      </c>
      <c r="L17" s="38">
        <v>6.833333333333333</v>
      </c>
      <c r="M17" s="38">
        <v>9</v>
      </c>
    </row>
    <row r="18" spans="1:13">
      <c r="A18" s="110" t="s">
        <v>390</v>
      </c>
      <c r="B18" s="36" t="s">
        <v>198</v>
      </c>
      <c r="C18" s="111" t="s">
        <v>200</v>
      </c>
      <c r="D18" s="94">
        <v>1170</v>
      </c>
      <c r="E18" s="38">
        <v>5</v>
      </c>
      <c r="F18" s="38">
        <v>7</v>
      </c>
      <c r="H18" s="110" t="s">
        <v>390</v>
      </c>
      <c r="I18" s="78" t="s">
        <v>177</v>
      </c>
      <c r="J18" s="79" t="s">
        <v>179</v>
      </c>
      <c r="K18" s="95">
        <v>1218</v>
      </c>
      <c r="L18" s="38">
        <v>4.5</v>
      </c>
      <c r="M18" s="38">
        <v>5</v>
      </c>
    </row>
    <row r="19" spans="1:13">
      <c r="A19" s="110" t="s">
        <v>509</v>
      </c>
      <c r="B19" s="78" t="s">
        <v>288</v>
      </c>
      <c r="C19" s="79" t="s">
        <v>290</v>
      </c>
      <c r="D19" s="95">
        <v>1255</v>
      </c>
      <c r="E19" s="38">
        <v>5.1666666666666661</v>
      </c>
      <c r="F19" s="38">
        <v>6</v>
      </c>
      <c r="H19" s="110" t="s">
        <v>819</v>
      </c>
      <c r="I19" s="112" t="s">
        <v>180</v>
      </c>
      <c r="J19" s="79" t="s">
        <v>182</v>
      </c>
      <c r="K19" s="95">
        <v>1223</v>
      </c>
      <c r="L19" s="38">
        <v>4</v>
      </c>
      <c r="M19" s="38">
        <v>6</v>
      </c>
    </row>
    <row r="20" spans="1:13">
      <c r="A20" s="110" t="s">
        <v>509</v>
      </c>
      <c r="B20" s="36" t="s">
        <v>216</v>
      </c>
      <c r="C20" s="111" t="s">
        <v>218</v>
      </c>
      <c r="D20" s="94">
        <v>2677</v>
      </c>
      <c r="E20" s="38">
        <v>6.333333333333333</v>
      </c>
      <c r="F20" s="38">
        <v>9</v>
      </c>
      <c r="H20" s="110" t="s">
        <v>904</v>
      </c>
      <c r="I20" s="78" t="s">
        <v>192</v>
      </c>
      <c r="J20" s="79" t="s">
        <v>194</v>
      </c>
      <c r="K20" s="95">
        <v>908</v>
      </c>
      <c r="L20" s="38">
        <v>4.5</v>
      </c>
      <c r="M20" s="38">
        <v>6</v>
      </c>
    </row>
    <row r="21" spans="1:13">
      <c r="A21" s="110" t="s">
        <v>588</v>
      </c>
      <c r="B21" s="36" t="s">
        <v>16</v>
      </c>
      <c r="C21" s="111" t="s">
        <v>13</v>
      </c>
      <c r="D21" s="94">
        <v>1762</v>
      </c>
      <c r="E21" s="38">
        <v>7</v>
      </c>
      <c r="F21" s="38">
        <v>10</v>
      </c>
      <c r="H21" s="110" t="s">
        <v>390</v>
      </c>
      <c r="I21" s="36" t="s">
        <v>198</v>
      </c>
      <c r="J21" s="111" t="s">
        <v>200</v>
      </c>
      <c r="K21" s="94">
        <v>1170</v>
      </c>
      <c r="L21" s="38">
        <v>5</v>
      </c>
      <c r="M21" s="38">
        <v>7</v>
      </c>
    </row>
    <row r="22" spans="1:13">
      <c r="A22" s="110" t="s">
        <v>588</v>
      </c>
      <c r="B22" s="36" t="s">
        <v>162</v>
      </c>
      <c r="C22" s="111" t="s">
        <v>164</v>
      </c>
      <c r="D22" s="94">
        <v>1018</v>
      </c>
      <c r="E22" s="38">
        <v>4</v>
      </c>
      <c r="F22" s="38">
        <v>5</v>
      </c>
      <c r="H22" s="110" t="s">
        <v>390</v>
      </c>
      <c r="I22" s="36" t="s">
        <v>201</v>
      </c>
      <c r="J22" s="111" t="s">
        <v>203</v>
      </c>
      <c r="K22" s="94">
        <v>3247</v>
      </c>
      <c r="L22" s="38">
        <v>6.333333333333333</v>
      </c>
      <c r="M22" s="38">
        <v>10</v>
      </c>
    </row>
    <row r="23" spans="1:13">
      <c r="A23" s="110" t="s">
        <v>588</v>
      </c>
      <c r="B23" s="36" t="s">
        <v>291</v>
      </c>
      <c r="C23" s="111" t="s">
        <v>293</v>
      </c>
      <c r="D23" s="94">
        <v>3272</v>
      </c>
      <c r="E23" s="38">
        <v>6.333333333333333</v>
      </c>
      <c r="F23" s="38">
        <v>8</v>
      </c>
      <c r="H23" s="110" t="s">
        <v>1022</v>
      </c>
      <c r="I23" s="36" t="s">
        <v>204</v>
      </c>
      <c r="J23" s="111" t="s">
        <v>206</v>
      </c>
      <c r="K23" s="94">
        <v>1867</v>
      </c>
      <c r="L23" s="38">
        <v>4</v>
      </c>
      <c r="M23" s="38">
        <v>5</v>
      </c>
    </row>
    <row r="24" spans="1:13">
      <c r="A24" s="110" t="s">
        <v>588</v>
      </c>
      <c r="B24" s="36" t="s">
        <v>82</v>
      </c>
      <c r="C24" s="37" t="s">
        <v>79</v>
      </c>
      <c r="D24" s="94">
        <v>1762</v>
      </c>
      <c r="E24" s="38">
        <v>6</v>
      </c>
      <c r="F24" s="38">
        <v>10</v>
      </c>
      <c r="H24" s="110" t="s">
        <v>329</v>
      </c>
      <c r="I24" s="78" t="s">
        <v>210</v>
      </c>
      <c r="J24" s="79" t="s">
        <v>212</v>
      </c>
      <c r="K24" s="95">
        <v>2263</v>
      </c>
      <c r="L24" s="38">
        <v>5.8333333333333339</v>
      </c>
      <c r="M24" s="38">
        <v>7</v>
      </c>
    </row>
    <row r="25" spans="1:13">
      <c r="A25" s="110" t="s">
        <v>588</v>
      </c>
      <c r="B25" s="78" t="s">
        <v>279</v>
      </c>
      <c r="C25" s="79" t="s">
        <v>281</v>
      </c>
      <c r="D25" s="95">
        <v>2254</v>
      </c>
      <c r="E25" s="38">
        <v>5.3333333333333339</v>
      </c>
      <c r="F25" s="38">
        <v>6</v>
      </c>
      <c r="H25" s="110" t="s">
        <v>509</v>
      </c>
      <c r="I25" s="36" t="s">
        <v>216</v>
      </c>
      <c r="J25" s="111" t="s">
        <v>218</v>
      </c>
      <c r="K25" s="94">
        <v>2677</v>
      </c>
      <c r="L25" s="38">
        <v>6.333333333333333</v>
      </c>
      <c r="M25" s="38">
        <v>9</v>
      </c>
    </row>
    <row r="26" spans="1:13">
      <c r="A26" s="110" t="s">
        <v>675</v>
      </c>
      <c r="B26" s="78" t="s">
        <v>282</v>
      </c>
      <c r="C26" s="79" t="s">
        <v>284</v>
      </c>
      <c r="D26" s="95">
        <v>1458</v>
      </c>
      <c r="E26" s="38">
        <v>5</v>
      </c>
      <c r="F26" s="38">
        <v>7</v>
      </c>
      <c r="H26" s="110" t="s">
        <v>390</v>
      </c>
      <c r="I26" s="36" t="s">
        <v>413</v>
      </c>
      <c r="J26" s="111" t="s">
        <v>414</v>
      </c>
      <c r="K26" s="94">
        <v>1775</v>
      </c>
      <c r="L26" s="38">
        <v>4</v>
      </c>
      <c r="M26" s="38">
        <v>6</v>
      </c>
    </row>
    <row r="27" spans="1:13">
      <c r="A27" s="110" t="s">
        <v>675</v>
      </c>
      <c r="B27" s="78" t="s">
        <v>234</v>
      </c>
      <c r="C27" s="79" t="s">
        <v>236</v>
      </c>
      <c r="D27" s="95">
        <v>1200</v>
      </c>
      <c r="E27" s="38">
        <v>4.5</v>
      </c>
      <c r="F27" s="38">
        <v>5</v>
      </c>
      <c r="H27" s="110" t="s">
        <v>904</v>
      </c>
      <c r="I27" s="78" t="s">
        <v>219</v>
      </c>
      <c r="J27" s="79" t="s">
        <v>221</v>
      </c>
      <c r="K27" s="95">
        <v>1603</v>
      </c>
      <c r="L27" s="38">
        <v>5.3333333333333339</v>
      </c>
      <c r="M27" s="38">
        <v>6</v>
      </c>
    </row>
    <row r="28" spans="1:13">
      <c r="A28" s="110" t="s">
        <v>675</v>
      </c>
      <c r="B28" s="36" t="s">
        <v>255</v>
      </c>
      <c r="C28" s="111" t="s">
        <v>257</v>
      </c>
      <c r="D28" s="94">
        <v>1134</v>
      </c>
      <c r="E28" s="38">
        <v>5</v>
      </c>
      <c r="F28" s="38">
        <v>6</v>
      </c>
      <c r="H28" s="110" t="s">
        <v>963</v>
      </c>
      <c r="I28" s="36" t="s">
        <v>222</v>
      </c>
      <c r="J28" s="111" t="s">
        <v>224</v>
      </c>
      <c r="K28" s="94">
        <v>2236</v>
      </c>
      <c r="L28" s="38">
        <v>6.333333333333333</v>
      </c>
      <c r="M28" s="38">
        <v>9</v>
      </c>
    </row>
    <row r="29" spans="1:13">
      <c r="A29" s="110" t="s">
        <v>675</v>
      </c>
      <c r="B29" s="36" t="s">
        <v>246</v>
      </c>
      <c r="C29" s="111" t="s">
        <v>248</v>
      </c>
      <c r="D29" s="94">
        <v>816</v>
      </c>
      <c r="E29" s="38">
        <v>4</v>
      </c>
      <c r="F29" s="38">
        <v>5</v>
      </c>
      <c r="H29" s="110" t="s">
        <v>329</v>
      </c>
      <c r="I29" s="78" t="s">
        <v>225</v>
      </c>
      <c r="J29" s="79" t="s">
        <v>227</v>
      </c>
      <c r="K29" s="95">
        <v>1333</v>
      </c>
      <c r="L29" s="38">
        <v>4.1666666666666661</v>
      </c>
      <c r="M29" s="38">
        <v>5</v>
      </c>
    </row>
    <row r="30" spans="1:13">
      <c r="A30" s="110" t="s">
        <v>746</v>
      </c>
      <c r="B30" s="36" t="s">
        <v>301</v>
      </c>
      <c r="C30" s="111" t="s">
        <v>303</v>
      </c>
      <c r="D30" s="94">
        <v>437</v>
      </c>
      <c r="E30" s="38">
        <v>4</v>
      </c>
      <c r="F30" s="38">
        <v>5</v>
      </c>
      <c r="H30" s="110" t="s">
        <v>1022</v>
      </c>
      <c r="I30" s="78" t="s">
        <v>228</v>
      </c>
      <c r="J30" s="79" t="s">
        <v>230</v>
      </c>
      <c r="K30" s="95">
        <v>5343</v>
      </c>
      <c r="L30" s="38">
        <v>4</v>
      </c>
      <c r="M30" s="38">
        <v>6</v>
      </c>
    </row>
    <row r="31" spans="1:13">
      <c r="A31" s="110" t="s">
        <v>746</v>
      </c>
      <c r="B31" s="36" t="s">
        <v>129</v>
      </c>
      <c r="C31" s="111" t="s">
        <v>131</v>
      </c>
      <c r="D31" s="94">
        <v>1812</v>
      </c>
      <c r="E31" s="38">
        <v>4</v>
      </c>
      <c r="F31" s="38">
        <v>5</v>
      </c>
      <c r="H31" s="110" t="s">
        <v>329</v>
      </c>
      <c r="I31" s="36" t="s">
        <v>231</v>
      </c>
      <c r="J31" s="111" t="s">
        <v>233</v>
      </c>
      <c r="K31" s="94">
        <v>2479</v>
      </c>
      <c r="L31" s="38">
        <v>6.166666666666667</v>
      </c>
      <c r="M31" s="38">
        <v>9</v>
      </c>
    </row>
    <row r="32" spans="1:13">
      <c r="A32" s="110" t="s">
        <v>746</v>
      </c>
      <c r="B32" s="36" t="s">
        <v>141</v>
      </c>
      <c r="C32" s="111" t="s">
        <v>143</v>
      </c>
      <c r="D32" s="94">
        <v>1162</v>
      </c>
      <c r="E32" s="38">
        <v>4</v>
      </c>
      <c r="F32" s="38">
        <v>5</v>
      </c>
      <c r="H32" s="110" t="s">
        <v>675</v>
      </c>
      <c r="I32" s="78" t="s">
        <v>234</v>
      </c>
      <c r="J32" s="79" t="s">
        <v>236</v>
      </c>
      <c r="K32" s="95">
        <v>1200</v>
      </c>
      <c r="L32" s="38">
        <v>4.5</v>
      </c>
      <c r="M32" s="38">
        <v>5</v>
      </c>
    </row>
    <row r="33" spans="1:13">
      <c r="A33" s="110" t="s">
        <v>819</v>
      </c>
      <c r="B33" s="112" t="s">
        <v>180</v>
      </c>
      <c r="C33" s="79" t="s">
        <v>182</v>
      </c>
      <c r="D33" s="95">
        <v>1223</v>
      </c>
      <c r="E33" s="38">
        <v>4</v>
      </c>
      <c r="F33" s="38">
        <v>6</v>
      </c>
      <c r="H33" s="110" t="s">
        <v>1022</v>
      </c>
      <c r="I33" s="113" t="s">
        <v>237</v>
      </c>
      <c r="J33" s="111" t="s">
        <v>239</v>
      </c>
      <c r="K33" s="94">
        <v>1302</v>
      </c>
      <c r="L33" s="38">
        <v>5</v>
      </c>
      <c r="M33" s="38">
        <v>9</v>
      </c>
    </row>
    <row r="34" spans="1:13">
      <c r="A34" s="110" t="s">
        <v>819</v>
      </c>
      <c r="B34" s="36" t="s">
        <v>171</v>
      </c>
      <c r="C34" s="111" t="s">
        <v>173</v>
      </c>
      <c r="D34" s="94">
        <v>1382</v>
      </c>
      <c r="E34" s="38">
        <v>6</v>
      </c>
      <c r="F34" s="38">
        <v>7</v>
      </c>
      <c r="H34" s="110" t="s">
        <v>819</v>
      </c>
      <c r="I34" s="78" t="s">
        <v>243</v>
      </c>
      <c r="J34" s="79" t="s">
        <v>245</v>
      </c>
      <c r="K34" s="95">
        <v>981</v>
      </c>
      <c r="L34" s="38">
        <v>4.5</v>
      </c>
      <c r="M34" s="38">
        <v>5</v>
      </c>
    </row>
    <row r="35" spans="1:13">
      <c r="A35" s="110" t="s">
        <v>819</v>
      </c>
      <c r="B35" s="78" t="s">
        <v>114</v>
      </c>
      <c r="C35" s="79" t="s">
        <v>116</v>
      </c>
      <c r="D35" s="95">
        <v>2134</v>
      </c>
      <c r="E35" s="38">
        <v>5.3333333333333339</v>
      </c>
      <c r="F35" s="38">
        <v>6</v>
      </c>
      <c r="H35" s="110" t="s">
        <v>675</v>
      </c>
      <c r="I35" s="36" t="s">
        <v>246</v>
      </c>
      <c r="J35" s="111" t="s">
        <v>248</v>
      </c>
      <c r="K35" s="94">
        <v>816</v>
      </c>
      <c r="L35" s="38">
        <v>4</v>
      </c>
      <c r="M35" s="38">
        <v>5</v>
      </c>
    </row>
    <row r="36" spans="1:13">
      <c r="A36" s="110" t="s">
        <v>819</v>
      </c>
      <c r="B36" s="78" t="s">
        <v>147</v>
      </c>
      <c r="C36" s="79" t="s">
        <v>149</v>
      </c>
      <c r="D36" s="95">
        <v>2762</v>
      </c>
      <c r="E36" s="38">
        <v>6.166666666666667</v>
      </c>
      <c r="F36" s="38">
        <v>9</v>
      </c>
      <c r="H36" s="110" t="s">
        <v>1022</v>
      </c>
      <c r="I36" s="36" t="s">
        <v>249</v>
      </c>
      <c r="J36" s="111" t="s">
        <v>251</v>
      </c>
      <c r="K36" s="94">
        <v>2439</v>
      </c>
      <c r="L36" s="38">
        <v>4.1666666666666661</v>
      </c>
      <c r="M36" s="38">
        <v>6</v>
      </c>
    </row>
    <row r="37" spans="1:13">
      <c r="A37" s="110" t="s">
        <v>819</v>
      </c>
      <c r="B37" s="36" t="s">
        <v>144</v>
      </c>
      <c r="C37" s="111" t="s">
        <v>146</v>
      </c>
      <c r="D37" s="94">
        <v>2766</v>
      </c>
      <c r="E37" s="38">
        <v>6.333333333333333</v>
      </c>
      <c r="F37" s="38">
        <v>16</v>
      </c>
      <c r="H37" s="110" t="s">
        <v>963</v>
      </c>
      <c r="I37" s="36" t="s">
        <v>19</v>
      </c>
      <c r="J37" s="111" t="s">
        <v>18</v>
      </c>
      <c r="K37" s="94">
        <v>2486</v>
      </c>
      <c r="L37" s="38">
        <v>7</v>
      </c>
      <c r="M37" s="38">
        <v>15</v>
      </c>
    </row>
    <row r="38" spans="1:13">
      <c r="A38" s="110" t="s">
        <v>819</v>
      </c>
      <c r="B38" s="78" t="s">
        <v>243</v>
      </c>
      <c r="C38" s="79" t="s">
        <v>245</v>
      </c>
      <c r="D38" s="95">
        <v>981</v>
      </c>
      <c r="E38" s="38">
        <v>4.5</v>
      </c>
      <c r="F38" s="38">
        <v>5</v>
      </c>
      <c r="H38" s="110" t="s">
        <v>675</v>
      </c>
      <c r="I38" s="36" t="s">
        <v>255</v>
      </c>
      <c r="J38" s="111" t="s">
        <v>257</v>
      </c>
      <c r="K38" s="94">
        <v>1134</v>
      </c>
      <c r="L38" s="38">
        <v>5</v>
      </c>
      <c r="M38" s="38">
        <v>6</v>
      </c>
    </row>
    <row r="39" spans="1:13">
      <c r="A39" s="110" t="s">
        <v>904</v>
      </c>
      <c r="B39" s="78" t="s">
        <v>258</v>
      </c>
      <c r="C39" s="79" t="s">
        <v>260</v>
      </c>
      <c r="D39" s="95">
        <v>3788</v>
      </c>
      <c r="E39" s="38">
        <v>4.1666666666666661</v>
      </c>
      <c r="F39" s="38">
        <v>5</v>
      </c>
      <c r="H39" s="110" t="s">
        <v>904</v>
      </c>
      <c r="I39" s="78" t="s">
        <v>258</v>
      </c>
      <c r="J39" s="79" t="s">
        <v>260</v>
      </c>
      <c r="K39" s="95">
        <v>3788</v>
      </c>
      <c r="L39" s="38">
        <v>4.1666666666666661</v>
      </c>
      <c r="M39" s="38">
        <v>5</v>
      </c>
    </row>
    <row r="40" spans="1:13">
      <c r="A40" s="110" t="s">
        <v>904</v>
      </c>
      <c r="B40" s="78" t="s">
        <v>270</v>
      </c>
      <c r="C40" s="79" t="s">
        <v>272</v>
      </c>
      <c r="D40" s="95">
        <v>1084</v>
      </c>
      <c r="E40" s="38">
        <v>5</v>
      </c>
      <c r="F40" s="38">
        <v>6</v>
      </c>
      <c r="H40" s="110" t="s">
        <v>390</v>
      </c>
      <c r="I40" s="36" t="s">
        <v>261</v>
      </c>
      <c r="J40" s="111" t="s">
        <v>263</v>
      </c>
      <c r="K40" s="94">
        <v>3576</v>
      </c>
      <c r="L40" s="38">
        <v>5.3333333333333339</v>
      </c>
      <c r="M40" s="38">
        <v>9</v>
      </c>
    </row>
    <row r="41" spans="1:13">
      <c r="A41" s="110" t="s">
        <v>904</v>
      </c>
      <c r="B41" s="78" t="s">
        <v>267</v>
      </c>
      <c r="C41" s="79" t="s">
        <v>269</v>
      </c>
      <c r="D41" s="95">
        <v>1032</v>
      </c>
      <c r="E41" s="38">
        <v>4.5</v>
      </c>
      <c r="F41" s="38">
        <v>6</v>
      </c>
      <c r="H41" s="110" t="s">
        <v>904</v>
      </c>
      <c r="I41" s="78" t="s">
        <v>267</v>
      </c>
      <c r="J41" s="79" t="s">
        <v>269</v>
      </c>
      <c r="K41" s="95">
        <v>1032</v>
      </c>
      <c r="L41" s="38">
        <v>4.5</v>
      </c>
      <c r="M41" s="38">
        <v>6</v>
      </c>
    </row>
    <row r="42" spans="1:13">
      <c r="A42" s="110" t="s">
        <v>904</v>
      </c>
      <c r="B42" s="78" t="s">
        <v>192</v>
      </c>
      <c r="C42" s="79" t="s">
        <v>194</v>
      </c>
      <c r="D42" s="95">
        <v>908</v>
      </c>
      <c r="E42" s="38">
        <v>4.5</v>
      </c>
      <c r="F42" s="38">
        <v>6</v>
      </c>
      <c r="H42" s="110" t="s">
        <v>904</v>
      </c>
      <c r="I42" s="78" t="s">
        <v>270</v>
      </c>
      <c r="J42" s="79" t="s">
        <v>272</v>
      </c>
      <c r="K42" s="95">
        <v>1084</v>
      </c>
      <c r="L42" s="38">
        <v>5</v>
      </c>
      <c r="M42" s="38">
        <v>6</v>
      </c>
    </row>
    <row r="43" spans="1:13">
      <c r="A43" s="110" t="s">
        <v>904</v>
      </c>
      <c r="B43" s="78" t="s">
        <v>219</v>
      </c>
      <c r="C43" s="79" t="s">
        <v>221</v>
      </c>
      <c r="D43" s="95">
        <v>1603</v>
      </c>
      <c r="E43" s="38">
        <v>5.3333333333333339</v>
      </c>
      <c r="F43" s="38">
        <v>6</v>
      </c>
      <c r="H43" s="110" t="s">
        <v>1022</v>
      </c>
      <c r="I43" s="78" t="s">
        <v>273</v>
      </c>
      <c r="J43" s="79" t="s">
        <v>275</v>
      </c>
      <c r="K43" s="95">
        <v>1443</v>
      </c>
      <c r="L43" s="38">
        <v>5</v>
      </c>
      <c r="M43" s="38">
        <v>6</v>
      </c>
    </row>
    <row r="44" spans="1:13">
      <c r="A44" s="110" t="s">
        <v>963</v>
      </c>
      <c r="B44" s="36" t="s">
        <v>19</v>
      </c>
      <c r="C44" s="111" t="s">
        <v>18</v>
      </c>
      <c r="D44" s="94">
        <v>2486</v>
      </c>
      <c r="E44" s="38">
        <v>7</v>
      </c>
      <c r="F44" s="38">
        <v>15</v>
      </c>
      <c r="H44" s="110" t="s">
        <v>588</v>
      </c>
      <c r="I44" s="36" t="s">
        <v>82</v>
      </c>
      <c r="J44" s="37" t="s">
        <v>79</v>
      </c>
      <c r="K44" s="94">
        <v>1762</v>
      </c>
      <c r="L44" s="38">
        <v>6</v>
      </c>
      <c r="M44" s="38">
        <v>10</v>
      </c>
    </row>
    <row r="45" spans="1:13">
      <c r="A45" s="110" t="s">
        <v>963</v>
      </c>
      <c r="B45" s="113" t="s">
        <v>276</v>
      </c>
      <c r="C45" s="111" t="s">
        <v>278</v>
      </c>
      <c r="D45" s="94">
        <v>4670</v>
      </c>
      <c r="E45" s="38">
        <v>5</v>
      </c>
      <c r="F45" s="38">
        <v>10</v>
      </c>
      <c r="H45" s="110" t="s">
        <v>963</v>
      </c>
      <c r="I45" s="113" t="s">
        <v>276</v>
      </c>
      <c r="J45" s="111" t="s">
        <v>278</v>
      </c>
      <c r="K45" s="94">
        <v>4670</v>
      </c>
      <c r="L45" s="38">
        <v>5</v>
      </c>
      <c r="M45" s="38">
        <v>10</v>
      </c>
    </row>
    <row r="46" spans="1:13">
      <c r="A46" s="110" t="s">
        <v>963</v>
      </c>
      <c r="B46" s="36" t="s">
        <v>222</v>
      </c>
      <c r="C46" s="111" t="s">
        <v>224</v>
      </c>
      <c r="D46" s="94">
        <v>2236</v>
      </c>
      <c r="E46" s="38">
        <v>6.333333333333333</v>
      </c>
      <c r="F46" s="38">
        <v>9</v>
      </c>
      <c r="H46" s="110" t="s">
        <v>588</v>
      </c>
      <c r="I46" s="78" t="s">
        <v>279</v>
      </c>
      <c r="J46" s="79" t="s">
        <v>281</v>
      </c>
      <c r="K46" s="95">
        <v>2254</v>
      </c>
      <c r="L46" s="38">
        <v>5.3333333333333339</v>
      </c>
      <c r="M46" s="38">
        <v>6</v>
      </c>
    </row>
    <row r="47" spans="1:13">
      <c r="A47" s="110" t="s">
        <v>963</v>
      </c>
      <c r="B47" s="36" t="s">
        <v>120</v>
      </c>
      <c r="C47" s="111" t="s">
        <v>122</v>
      </c>
      <c r="D47" s="94">
        <v>2931</v>
      </c>
      <c r="E47" s="38">
        <v>5.6666666666666661</v>
      </c>
      <c r="F47" s="38">
        <v>7</v>
      </c>
      <c r="H47" s="110" t="s">
        <v>675</v>
      </c>
      <c r="I47" s="78" t="s">
        <v>282</v>
      </c>
      <c r="J47" s="79" t="s">
        <v>284</v>
      </c>
      <c r="K47" s="95">
        <v>1458</v>
      </c>
      <c r="L47" s="38">
        <v>5</v>
      </c>
      <c r="M47" s="38">
        <v>7</v>
      </c>
    </row>
    <row r="48" spans="1:13">
      <c r="A48" s="110" t="s">
        <v>1022</v>
      </c>
      <c r="B48" s="36" t="s">
        <v>308</v>
      </c>
      <c r="C48" s="111" t="s">
        <v>310</v>
      </c>
      <c r="D48" s="94">
        <v>821</v>
      </c>
      <c r="E48" s="38">
        <v>4.3333333333333339</v>
      </c>
      <c r="F48" s="38">
        <v>8</v>
      </c>
      <c r="H48" s="110" t="s">
        <v>509</v>
      </c>
      <c r="I48" s="78" t="s">
        <v>288</v>
      </c>
      <c r="J48" s="79" t="s">
        <v>290</v>
      </c>
      <c r="K48" s="95">
        <v>1255</v>
      </c>
      <c r="L48" s="38">
        <v>5.1666666666666661</v>
      </c>
      <c r="M48" s="38">
        <v>6</v>
      </c>
    </row>
    <row r="49" spans="1:13">
      <c r="A49" s="110" t="s">
        <v>1022</v>
      </c>
      <c r="B49" s="36" t="s">
        <v>204</v>
      </c>
      <c r="C49" s="111" t="s">
        <v>206</v>
      </c>
      <c r="D49" s="94">
        <v>1867</v>
      </c>
      <c r="E49" s="38">
        <v>4</v>
      </c>
      <c r="F49" s="38">
        <v>5</v>
      </c>
      <c r="H49" s="110" t="s">
        <v>588</v>
      </c>
      <c r="I49" s="36" t="s">
        <v>291</v>
      </c>
      <c r="J49" s="111" t="s">
        <v>293</v>
      </c>
      <c r="K49" s="94">
        <v>3272</v>
      </c>
      <c r="L49" s="38">
        <v>6.333333333333333</v>
      </c>
      <c r="M49" s="38">
        <v>8</v>
      </c>
    </row>
    <row r="50" spans="1:13">
      <c r="A50" s="110" t="s">
        <v>1022</v>
      </c>
      <c r="B50" s="78" t="s">
        <v>228</v>
      </c>
      <c r="C50" s="79" t="s">
        <v>230</v>
      </c>
      <c r="D50" s="95">
        <v>5343</v>
      </c>
      <c r="E50" s="38">
        <v>4</v>
      </c>
      <c r="F50" s="38">
        <v>6</v>
      </c>
      <c r="H50" s="110" t="s">
        <v>746</v>
      </c>
      <c r="I50" s="36" t="s">
        <v>301</v>
      </c>
      <c r="J50" s="111" t="s">
        <v>303</v>
      </c>
      <c r="K50" s="94">
        <v>437</v>
      </c>
      <c r="L50" s="38">
        <v>4</v>
      </c>
      <c r="M50" s="38">
        <v>5</v>
      </c>
    </row>
    <row r="51" spans="1:13">
      <c r="A51" s="110" t="s">
        <v>1022</v>
      </c>
      <c r="B51" s="113" t="s">
        <v>237</v>
      </c>
      <c r="C51" s="111" t="s">
        <v>239</v>
      </c>
      <c r="D51" s="94">
        <v>1302</v>
      </c>
      <c r="E51" s="38">
        <v>5</v>
      </c>
      <c r="F51" s="38">
        <v>9</v>
      </c>
      <c r="H51" s="110" t="s">
        <v>390</v>
      </c>
      <c r="I51" s="36" t="s">
        <v>304</v>
      </c>
      <c r="J51" s="111" t="s">
        <v>306</v>
      </c>
      <c r="K51" s="94">
        <v>2888</v>
      </c>
      <c r="L51" s="38">
        <v>6.333333333333333</v>
      </c>
      <c r="M51" s="38">
        <v>10</v>
      </c>
    </row>
    <row r="52" spans="1:13">
      <c r="A52" s="110" t="s">
        <v>1022</v>
      </c>
      <c r="B52" s="78" t="s">
        <v>273</v>
      </c>
      <c r="C52" s="79" t="s">
        <v>275</v>
      </c>
      <c r="D52" s="95">
        <v>1443</v>
      </c>
      <c r="E52" s="38">
        <v>5</v>
      </c>
      <c r="F52" s="38">
        <v>6</v>
      </c>
      <c r="H52" s="110" t="s">
        <v>329</v>
      </c>
      <c r="I52" s="36" t="s">
        <v>307</v>
      </c>
      <c r="J52" s="111" t="s">
        <v>50</v>
      </c>
      <c r="K52" s="94">
        <v>3064</v>
      </c>
      <c r="L52" s="38">
        <v>5</v>
      </c>
      <c r="M52" s="38">
        <v>6</v>
      </c>
    </row>
    <row r="53" spans="1:13">
      <c r="A53" s="110" t="s">
        <v>1022</v>
      </c>
      <c r="B53" s="36" t="s">
        <v>174</v>
      </c>
      <c r="C53" s="111" t="s">
        <v>176</v>
      </c>
      <c r="D53" s="94">
        <v>2033</v>
      </c>
      <c r="E53" s="38">
        <v>6.833333333333333</v>
      </c>
      <c r="F53" s="38">
        <v>9</v>
      </c>
      <c r="H53" s="110" t="s">
        <v>1022</v>
      </c>
      <c r="I53" s="36" t="s">
        <v>308</v>
      </c>
      <c r="J53" s="111" t="s">
        <v>310</v>
      </c>
      <c r="K53" s="94">
        <v>821</v>
      </c>
      <c r="L53" s="38">
        <v>4.3333333333333339</v>
      </c>
      <c r="M53" s="38">
        <v>8</v>
      </c>
    </row>
    <row r="54" spans="1:13">
      <c r="A54" s="110" t="s">
        <v>1022</v>
      </c>
      <c r="B54" s="36" t="s">
        <v>249</v>
      </c>
      <c r="C54" s="111" t="s">
        <v>251</v>
      </c>
      <c r="D54" s="94">
        <v>2439</v>
      </c>
      <c r="E54" s="38">
        <v>4.1666666666666661</v>
      </c>
      <c r="F54" s="38">
        <v>6</v>
      </c>
      <c r="H54" s="110" t="s">
        <v>390</v>
      </c>
      <c r="I54" s="78" t="s">
        <v>311</v>
      </c>
      <c r="J54" s="79" t="s">
        <v>313</v>
      </c>
      <c r="K54" s="95">
        <v>1035</v>
      </c>
      <c r="L54" s="38">
        <v>4.5</v>
      </c>
      <c r="M54" s="38">
        <v>6</v>
      </c>
    </row>
  </sheetData>
  <sheetProtection algorithmName="SHA-512" hashValue="FQ4imY2khRSwHIJCC3a7HYGV31tzxEK3WcPWYZykX+58mUAWqpq2jBpdFFfFxpxnENagc8TbEddySq2OH8ksVA==" saltValue="h7FvsQM2F1Yv4GXshjtGgw==" spinCount="100000" sheet="1" objects="1" scenarios="1" autoFilter="0"/>
  <mergeCells count="2">
    <mergeCell ref="A1:F1"/>
    <mergeCell ref="H1:M1"/>
  </mergeCells>
  <conditionalFormatting sqref="C3:D4 B3:B54">
    <cfRule type="duplicateValues" dxfId="21" priority="68"/>
  </conditionalFormatting>
  <conditionalFormatting sqref="J3:K4 I3:I54">
    <cfRule type="duplicateValues" dxfId="20" priority="2"/>
  </conditionalFormatting>
  <pageMargins left="0.7" right="0.7" top="0.75" bottom="0.75" header="0.3" footer="0.3"/>
  <legacyDrawing r:id="rId1"/>
  <tableParts count="2">
    <tablePart r:id="rId2"/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" operator="notEqual" id="{4B69761E-4EBF-40E4-B694-3BE42C4A2798}">
            <xm:f>'ED Allocations'!#REF!</xm:f>
            <x14:dxf>
              <fill>
                <patternFill>
                  <bgColor theme="7" tint="0.79998168889431442"/>
                </patternFill>
              </fill>
            </x14:dxf>
          </x14:cfRule>
          <xm:sqref>B3:B54</xm:sqref>
        </x14:conditionalFormatting>
        <x14:conditionalFormatting xmlns:xm="http://schemas.microsoft.com/office/excel/2006/main">
          <x14:cfRule type="cellIs" priority="1" operator="notEqual" id="{D8216942-8DB2-4844-8EDA-4B463BE7213A}">
            <xm:f>'ED Allocations'!#REF!</xm:f>
            <x14:dxf>
              <fill>
                <patternFill>
                  <bgColor theme="7" tint="0.79998168889431442"/>
                </patternFill>
              </fill>
            </x14:dxf>
          </x14:cfRule>
          <xm:sqref>I3:I54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F670FAAE550741B102B417F49E190F" ma:contentTypeVersion="49" ma:contentTypeDescription="Create a new document." ma:contentTypeScope="" ma:versionID="dabbcb6e648ed9371bce7ebade941a26">
  <xsd:schema xmlns:xsd="http://www.w3.org/2001/XMLSchema" xmlns:xs="http://www.w3.org/2001/XMLSchema" xmlns:p="http://schemas.microsoft.com/office/2006/metadata/properties" xmlns:ns2="c24e44f8-2507-4134-b3d3-a02934a1e03e" xmlns:ns3="56164a40-6a37-4ef8-a7d6-c280e975b5b3" targetNamespace="http://schemas.microsoft.com/office/2006/metadata/properties" ma:root="true" ma:fieldsID="9617645a7d206ac0b46266e9845ea22f" ns2:_="" ns3:_="">
    <xsd:import namespace="c24e44f8-2507-4134-b3d3-a02934a1e03e"/>
    <xsd:import namespace="56164a40-6a37-4ef8-a7d6-c280e975b5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Proofer_x0020_1_x0020_Name" minOccurs="0"/>
                <xsd:element ref="ns2:Proofer_x0020_1_x0020_Tasks" minOccurs="0"/>
                <xsd:element ref="ns2:Proofing_x0020_Due_x0020_Date" minOccurs="0"/>
                <xsd:element ref="ns2:Proofer_x0020_2_x0020_Name" minOccurs="0"/>
                <xsd:element ref="ns2:Proofer_x0020_2_x0020_Status" minOccurs="0"/>
                <xsd:element ref="ns2:Proofer_x0020_2_x0020_Tasks" minOccurs="0"/>
                <xsd:element ref="ns2:Proofer_x0020_3_x0020_Name" minOccurs="0"/>
                <xsd:element ref="ns2:Proofer_x0020_3_x0020_Status" minOccurs="0"/>
                <xsd:element ref="ns2:Proofer_x0020_3_x0020_Tasks" minOccurs="0"/>
                <xsd:element ref="ns2:Proofer_x0020_4_x0020_Name" minOccurs="0"/>
                <xsd:element ref="ns2:Proofer_x0020_4_x0020_Status" minOccurs="0"/>
                <xsd:element ref="ns2:Proofer_x0020_4_x0020_Tasks" minOccurs="0"/>
                <xsd:element ref="ns2:Proofreader_x0020_Comme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4e44f8-2507-4134-b3d3-a02934a1e0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75b7b534-7454-4f07-a0e0-5a4d745204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Proofer_x0020_1_x0020_Name" ma:index="22" nillable="true" ma:displayName="Proofer 1 Name" ma:description="Enter the name of the first person to proof this document" ma:indexed="true" ma:list="UserInfo" ma:SharePointGroup="0" ma:internalName="Proofer_x0020_1_x0020_Nam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oofer_x0020_1_x0020_Tasks" ma:index="23" nillable="true" ma:displayName="Proofer 1 Tasks" ma:description="Select one or more tasks for proofer number 1" ma:internalName="Proofer_x0020_1_x0020_Task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tandard Naming and Language"/>
                    <xsd:enumeration value="Spelling, Grammar, Format"/>
                    <xsd:enumeration value="Codes and Statutes"/>
                    <xsd:enumeration value="Numbers, Dates and Deadlines"/>
                    <xsd:enumeration value="Contact Info"/>
                  </xsd:restriction>
                </xsd:simpleType>
              </xsd:element>
            </xsd:sequence>
          </xsd:extension>
        </xsd:complexContent>
      </xsd:complexType>
    </xsd:element>
    <xsd:element name="Proofing_x0020_Due_x0020_Date" ma:index="24" nillable="true" ma:displayName="Proofing Due Date" ma:description="Enter the date and time when this proofing needs to be completed by all proofers" ma:format="DateOnly" ma:internalName="Proofing_x0020_Due_x0020_Date">
      <xsd:simpleType>
        <xsd:restriction base="dms:DateTime"/>
      </xsd:simpleType>
    </xsd:element>
    <xsd:element name="Proofer_x0020_2_x0020_Name" ma:index="25" nillable="true" ma:displayName="Proofer 2 Name" ma:description="Enter the name of the second person to proof this document" ma:indexed="true" ma:list="UserInfo" ma:SharePointGroup="0" ma:internalName="Proofer_x0020_2_x0020_Nam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oofer_x0020_2_x0020_Status" ma:index="26" nillable="true" ma:displayName="Proofer 2 Status" ma:default="Not Started" ma:format="Dropdown" ma:internalName="Proofer_x0020_2_x0020_Status">
      <xsd:simpleType>
        <xsd:restriction base="dms:Choice">
          <xsd:enumeration value="Not Started"/>
          <xsd:enumeration value="In Progress"/>
          <xsd:enumeration value="Approved"/>
          <xsd:enumeration value="Rejected"/>
        </xsd:restriction>
      </xsd:simpleType>
    </xsd:element>
    <xsd:element name="Proofer_x0020_2_x0020_Tasks" ma:index="27" nillable="true" ma:displayName="Proofer 2 Tasks" ma:description="Select one or more tasks for proofer number 2" ma:internalName="Proofer_x0020_2_x0020_Task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tandard Naming and Language"/>
                    <xsd:enumeration value="Spelling, Grammar, Format"/>
                    <xsd:enumeration value="Codes and Statutes"/>
                    <xsd:enumeration value="Numbers, Dates and Deadlines"/>
                    <xsd:enumeration value="Contact Info"/>
                  </xsd:restriction>
                </xsd:simpleType>
              </xsd:element>
            </xsd:sequence>
          </xsd:extension>
        </xsd:complexContent>
      </xsd:complexType>
    </xsd:element>
    <xsd:element name="Proofer_x0020_3_x0020_Name" ma:index="28" nillable="true" ma:displayName="Proofer 3 Name" ma:description="Enter the name of the third person to proof this document" ma:indexed="true" ma:list="UserInfo" ma:SharePointGroup="0" ma:internalName="Proofer_x0020_3_x0020_Nam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oofer_x0020_3_x0020_Status" ma:index="29" nillable="true" ma:displayName="Proofer 3 Status" ma:format="Dropdown" ma:internalName="Proofer_x0020_3_x0020_Status">
      <xsd:simpleType>
        <xsd:restriction base="dms:Choice">
          <xsd:enumeration value="Not Started"/>
          <xsd:enumeration value="In Progress"/>
          <xsd:enumeration value="Approved"/>
          <xsd:enumeration value="Rejected"/>
        </xsd:restriction>
      </xsd:simpleType>
    </xsd:element>
    <xsd:element name="Proofer_x0020_3_x0020_Tasks" ma:index="30" nillable="true" ma:displayName="Proofer 3 Tasks" ma:description="Select one or more tasks for proofer number 3" ma:internalName="Proofer_x0020_3_x0020_Task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tandard Naming and Language"/>
                    <xsd:enumeration value="Spelling, Grammar, Format"/>
                    <xsd:enumeration value="Codes and Statutes"/>
                    <xsd:enumeration value="Numbers, Dates and Deadlines"/>
                    <xsd:enumeration value="Contact Info"/>
                  </xsd:restriction>
                </xsd:simpleType>
              </xsd:element>
            </xsd:sequence>
          </xsd:extension>
        </xsd:complexContent>
      </xsd:complexType>
    </xsd:element>
    <xsd:element name="Proofer_x0020_4_x0020_Name" ma:index="31" nillable="true" ma:displayName="Proofer 4 Name" ma:description="Enter the name of the 4th person to proof this document" ma:indexed="true" ma:list="UserInfo" ma:SharePointGroup="0" ma:internalName="Proofer_x0020_4_x0020_Nam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oofer_x0020_4_x0020_Status" ma:index="32" nillable="true" ma:displayName="Proofer 4 Status" ma:format="Dropdown" ma:internalName="Proofer_x0020_4_x0020_Status">
      <xsd:simpleType>
        <xsd:restriction base="dms:Choice">
          <xsd:enumeration value="Not Started"/>
          <xsd:enumeration value="In Progress"/>
          <xsd:enumeration value="Approved"/>
          <xsd:enumeration value="Rejected"/>
        </xsd:restriction>
      </xsd:simpleType>
    </xsd:element>
    <xsd:element name="Proofer_x0020_4_x0020_Tasks" ma:index="33" nillable="true" ma:displayName="Proofer 4 Tasks" ma:description="Select one or more tasks for proofer number 4" ma:internalName="Proofer_x0020_4_x0020_Task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tandard Naming and Language"/>
                    <xsd:enumeration value="Spelling, Grammar, Format"/>
                    <xsd:enumeration value="Codes and Statutes"/>
                    <xsd:enumeration value="Numbers, Dates and Deadlines"/>
                    <xsd:enumeration value="Contact Info"/>
                  </xsd:restriction>
                </xsd:simpleType>
              </xsd:element>
            </xsd:sequence>
          </xsd:extension>
        </xsd:complexContent>
      </xsd:complexType>
    </xsd:element>
    <xsd:element name="Proofreader_x0020_Comments" ma:index="34" nillable="true" ma:displayName="Proofreader Comments" ma:internalName="Proofreader_x0020_Comments">
      <xsd:simpleType>
        <xsd:restriction base="dms:Text">
          <xsd:maxLength value="255"/>
        </xsd:restriction>
      </xsd:simpleType>
    </xsd:element>
    <xsd:element name="MediaServiceObjectDetectorVersions" ma:index="3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164a40-6a37-4ef8-a7d6-c280e975b5b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68e595d-5dce-4d64-b997-b791a5353177}" ma:internalName="TaxCatchAll" ma:showField="CatchAllData" ma:web="56164a40-6a37-4ef8-a7d6-c280e975b5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ofer_x0020_2_x0020_Status xmlns="c24e44f8-2507-4134-b3d3-a02934a1e03e">Not Started</Proofer_x0020_2_x0020_Status>
    <Proofreader_x0020_Comments xmlns="c24e44f8-2507-4134-b3d3-a02934a1e03e" xsi:nil="true"/>
    <TaxCatchAll xmlns="56164a40-6a37-4ef8-a7d6-c280e975b5b3" xsi:nil="true"/>
    <Proofer_x0020_4_x0020_Status xmlns="c24e44f8-2507-4134-b3d3-a02934a1e03e" xsi:nil="true"/>
    <Proofer_x0020_3_x0020_Status xmlns="c24e44f8-2507-4134-b3d3-a02934a1e03e" xsi:nil="true"/>
    <Proofing_x0020_Due_x0020_Date xmlns="c24e44f8-2507-4134-b3d3-a02934a1e03e" xsi:nil="true"/>
    <Proofer_x0020_3_x0020_Name xmlns="c24e44f8-2507-4134-b3d3-a02934a1e03e">
      <UserInfo>
        <DisplayName/>
        <AccountId xsi:nil="true"/>
        <AccountType/>
      </UserInfo>
    </Proofer_x0020_3_x0020_Name>
    <Proofer_x0020_4_x0020_Tasks xmlns="c24e44f8-2507-4134-b3d3-a02934a1e03e" xsi:nil="true"/>
    <Proofer_x0020_2_x0020_Name xmlns="c24e44f8-2507-4134-b3d3-a02934a1e03e">
      <UserInfo>
        <DisplayName/>
        <AccountId xsi:nil="true"/>
        <AccountType/>
      </UserInfo>
    </Proofer_x0020_2_x0020_Name>
    <Proofer_x0020_1_x0020_Name xmlns="c24e44f8-2507-4134-b3d3-a02934a1e03e">
      <UserInfo>
        <DisplayName/>
        <AccountId xsi:nil="true"/>
        <AccountType/>
      </UserInfo>
    </Proofer_x0020_1_x0020_Name>
    <lcf76f155ced4ddcb4097134ff3c332f xmlns="c24e44f8-2507-4134-b3d3-a02934a1e03e">
      <Terms xmlns="http://schemas.microsoft.com/office/infopath/2007/PartnerControls"/>
    </lcf76f155ced4ddcb4097134ff3c332f>
    <Proofer_x0020_1_x0020_Tasks xmlns="c24e44f8-2507-4134-b3d3-a02934a1e03e" xsi:nil="true"/>
    <Proofer_x0020_2_x0020_Tasks xmlns="c24e44f8-2507-4134-b3d3-a02934a1e03e" xsi:nil="true"/>
    <Proofer_x0020_3_x0020_Tasks xmlns="c24e44f8-2507-4134-b3d3-a02934a1e03e" xsi:nil="true"/>
    <Proofer_x0020_4_x0020_Name xmlns="c24e44f8-2507-4134-b3d3-a02934a1e03e">
      <UserInfo>
        <DisplayName/>
        <AccountId xsi:nil="true"/>
        <AccountType/>
      </UserInfo>
    </Proofer_x0020_4_x0020_Name>
  </documentManagement>
</p:properties>
</file>

<file path=customXml/itemProps1.xml><?xml version="1.0" encoding="utf-8"?>
<ds:datastoreItem xmlns:ds="http://schemas.openxmlformats.org/officeDocument/2006/customXml" ds:itemID="{EFA8A16D-4CE9-4526-8245-D20A97F5873F}"/>
</file>

<file path=customXml/itemProps2.xml><?xml version="1.0" encoding="utf-8"?>
<ds:datastoreItem xmlns:ds="http://schemas.openxmlformats.org/officeDocument/2006/customXml" ds:itemID="{E33A1E32-8984-4421-9866-242464A97C53}"/>
</file>

<file path=customXml/itemProps3.xml><?xml version="1.0" encoding="utf-8"?>
<ds:datastoreItem xmlns:ds="http://schemas.openxmlformats.org/officeDocument/2006/customXml" ds:itemID="{1CAC801A-87B1-4D11-847B-3110BF7D48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Petra Laird</dc:creator>
  <cp:keywords/>
  <dc:description/>
  <cp:lastModifiedBy/>
  <cp:revision/>
  <dcterms:created xsi:type="dcterms:W3CDTF">2024-09-18T17:26:59Z</dcterms:created>
  <dcterms:modified xsi:type="dcterms:W3CDTF">2024-12-03T16:48:36Z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0x0101007EF670FAAE550741B102B417F49E190F</vt:lpwstr>
  </property>
</Properties>
</file>